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workbookProtection workbookPassword="BB0A" lockStructure="1"/>
  <bookViews>
    <workbookView xWindow="900" yWindow="-30" windowWidth="12735" windowHeight="654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'DOE25'!$A$615:$L$615</definedName>
    <definedName name="ms25pg01">'MS-25'!$A$1:$G$51</definedName>
    <definedName name="ms25pg02">'MS-25'!$A$52:$G$80</definedName>
    <definedName name="ms25pg03">'MS-25'!$A$81:$G$103</definedName>
    <definedName name="ms25pg04">'MS-25'!$A$104:$G$145</definedName>
    <definedName name="ms25pg05">'MS-25'!#REF!</definedName>
    <definedName name="ms25pg06">'MS-25'!$A$146:$G$163</definedName>
    <definedName name="page01">'DOE25'!$A$5:$L$52</definedName>
    <definedName name="page02">'DOE25'!$A$53:$L$79</definedName>
    <definedName name="page03">'DOE25'!$A$80:$L$112</definedName>
    <definedName name="page04">'DOE25'!$A$113:$L$139</definedName>
    <definedName name="page05">'DOE25'!$A$141:$L$168</definedName>
    <definedName name="page06">'DOE25'!$A$170:$L$192</definedName>
    <definedName name="page07">'DOE25'!$A$193:$L$210</definedName>
    <definedName name="page08">'DOE25'!$A$211:$L$228</definedName>
    <definedName name="page09">'DOE25'!$A$229:$L$246</definedName>
    <definedName name="page10">'DOE25'!$A$248:$L$270</definedName>
    <definedName name="page11">'DOE25'!$A$272:$L$289</definedName>
    <definedName name="page12">'DOE25'!$A$291:$L$308</definedName>
    <definedName name="page13">'DOE25'!$A$310:$L$327</definedName>
    <definedName name="page14">'DOE25'!$A$329:$L$351</definedName>
    <definedName name="page15">'DOE25'!$A$354:$L$381</definedName>
    <definedName name="page16">'DOE25'!$A$383:$L$407</definedName>
    <definedName name="page17">'DOE25'!$A$409:$L$433</definedName>
    <definedName name="page18">'DOE25'!$A$435:$L$460</definedName>
    <definedName name="page19">'DOE25'!$A$462:$L$485</definedName>
    <definedName name="page20">'DOE25'!$A$486:$L$516</definedName>
    <definedName name="page21">'DOE25'!$A$517:$L$551</definedName>
    <definedName name="page22">'DOE25'!$A$552:$L$587</definedName>
    <definedName name="page23">'DOE25'!$A$588:$L$613</definedName>
    <definedName name="Page24">'DOE25'!$A28:$L38</definedName>
    <definedName name="pageall">'DOE25'!$A$5:$L$672</definedName>
    <definedName name="pagecheck">'DOE25'!$A$616:$J$672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'DOE25'!$A$1:$L$672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H653" i="1" l="1"/>
  <c r="H654" i="1"/>
  <c r="L527" i="1"/>
  <c r="C37" i="10" l="1"/>
  <c r="F40" i="2" l="1"/>
  <c r="D39" i="2"/>
  <c r="G654" i="1"/>
  <c r="J654" i="1" s="1"/>
  <c r="F47" i="2"/>
  <c r="E47" i="2"/>
  <c r="D47" i="2"/>
  <c r="C47" i="2"/>
  <c r="F46" i="2"/>
  <c r="E46" i="2"/>
  <c r="D46" i="2"/>
  <c r="C46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4" i="1"/>
  <c r="J45" i="1" s="1"/>
  <c r="G44" i="2" s="1"/>
  <c r="I457" i="1"/>
  <c r="J39" i="1" s="1"/>
  <c r="G38" i="2" s="1"/>
  <c r="C67" i="2"/>
  <c r="B2" i="13"/>
  <c r="F8" i="13"/>
  <c r="G8" i="13"/>
  <c r="L203" i="1"/>
  <c r="L221" i="1"/>
  <c r="L239" i="1"/>
  <c r="D39" i="13"/>
  <c r="F13" i="13"/>
  <c r="G13" i="13"/>
  <c r="L205" i="1"/>
  <c r="L223" i="1"/>
  <c r="C19" i="10" s="1"/>
  <c r="L241" i="1"/>
  <c r="F16" i="13"/>
  <c r="G16" i="13"/>
  <c r="L208" i="1"/>
  <c r="E16" i="13" s="1"/>
  <c r="C16" i="13" s="1"/>
  <c r="L226" i="1"/>
  <c r="L244" i="1"/>
  <c r="F5" i="13"/>
  <c r="G5" i="13"/>
  <c r="L196" i="1"/>
  <c r="L197" i="1"/>
  <c r="L198" i="1"/>
  <c r="L199" i="1"/>
  <c r="L214" i="1"/>
  <c r="L215" i="1"/>
  <c r="L216" i="1"/>
  <c r="L217" i="1"/>
  <c r="L232" i="1"/>
  <c r="L233" i="1"/>
  <c r="L234" i="1"/>
  <c r="L235" i="1"/>
  <c r="F6" i="13"/>
  <c r="G6" i="13"/>
  <c r="L201" i="1"/>
  <c r="L219" i="1"/>
  <c r="C15" i="10" s="1"/>
  <c r="L237" i="1"/>
  <c r="F7" i="13"/>
  <c r="G7" i="13"/>
  <c r="L202" i="1"/>
  <c r="L220" i="1"/>
  <c r="L238" i="1"/>
  <c r="F12" i="13"/>
  <c r="G12" i="13"/>
  <c r="L204" i="1"/>
  <c r="L222" i="1"/>
  <c r="L240" i="1"/>
  <c r="F14" i="13"/>
  <c r="G14" i="13"/>
  <c r="L206" i="1"/>
  <c r="D14" i="13" s="1"/>
  <c r="C14" i="13" s="1"/>
  <c r="L224" i="1"/>
  <c r="L242" i="1"/>
  <c r="F15" i="13"/>
  <c r="G15" i="13"/>
  <c r="L207" i="1"/>
  <c r="L225" i="1"/>
  <c r="C21" i="10" s="1"/>
  <c r="L243" i="1"/>
  <c r="F17" i="13"/>
  <c r="G17" i="13"/>
  <c r="L250" i="1"/>
  <c r="F18" i="13"/>
  <c r="G18" i="13"/>
  <c r="D18" i="13" s="1"/>
  <c r="C18" i="13" s="1"/>
  <c r="L251" i="1"/>
  <c r="F19" i="13"/>
  <c r="G19" i="13"/>
  <c r="L252" i="1"/>
  <c r="F29" i="13"/>
  <c r="G29" i="13"/>
  <c r="L357" i="1"/>
  <c r="L358" i="1"/>
  <c r="D29" i="13" s="1"/>
  <c r="C29" i="13" s="1"/>
  <c r="L359" i="1"/>
  <c r="I366" i="1"/>
  <c r="J289" i="1"/>
  <c r="J308" i="1"/>
  <c r="J327" i="1"/>
  <c r="K289" i="1"/>
  <c r="K308" i="1"/>
  <c r="K327" i="1"/>
  <c r="L275" i="1"/>
  <c r="L276" i="1"/>
  <c r="E109" i="2" s="1"/>
  <c r="L277" i="1"/>
  <c r="L278" i="1"/>
  <c r="E111" i="2" s="1"/>
  <c r="L280" i="1"/>
  <c r="L281" i="1"/>
  <c r="L282" i="1"/>
  <c r="L283" i="1"/>
  <c r="E120" i="2" s="1"/>
  <c r="L284" i="1"/>
  <c r="L285" i="1"/>
  <c r="E122" i="2" s="1"/>
  <c r="L286" i="1"/>
  <c r="L287" i="1"/>
  <c r="E124" i="2" s="1"/>
  <c r="L294" i="1"/>
  <c r="L295" i="1"/>
  <c r="L308" i="1" s="1"/>
  <c r="L296" i="1"/>
  <c r="L297" i="1"/>
  <c r="L299" i="1"/>
  <c r="L300" i="1"/>
  <c r="L301" i="1"/>
  <c r="L302" i="1"/>
  <c r="L303" i="1"/>
  <c r="L304" i="1"/>
  <c r="L305" i="1"/>
  <c r="L306" i="1"/>
  <c r="L313" i="1"/>
  <c r="L314" i="1"/>
  <c r="L327" i="1" s="1"/>
  <c r="L315" i="1"/>
  <c r="L316" i="1"/>
  <c r="L318" i="1"/>
  <c r="L319" i="1"/>
  <c r="L320" i="1"/>
  <c r="L321" i="1"/>
  <c r="L322" i="1"/>
  <c r="L323" i="1"/>
  <c r="L324" i="1"/>
  <c r="L325" i="1"/>
  <c r="L332" i="1"/>
  <c r="L333" i="1"/>
  <c r="E113" i="2" s="1"/>
  <c r="L334" i="1"/>
  <c r="L259" i="1"/>
  <c r="C32" i="10" s="1"/>
  <c r="L260" i="1"/>
  <c r="L340" i="1"/>
  <c r="E130" i="2" s="1"/>
  <c r="L341" i="1"/>
  <c r="L254" i="1"/>
  <c r="C29" i="10" s="1"/>
  <c r="L335" i="1"/>
  <c r="C11" i="13"/>
  <c r="C10" i="13"/>
  <c r="C9" i="13"/>
  <c r="L360" i="1"/>
  <c r="B4" i="12"/>
  <c r="B36" i="12"/>
  <c r="C36" i="12"/>
  <c r="A40" i="12" s="1"/>
  <c r="B40" i="12"/>
  <c r="C40" i="12"/>
  <c r="B27" i="12"/>
  <c r="C27" i="12"/>
  <c r="B31" i="12"/>
  <c r="C31" i="12"/>
  <c r="B9" i="12"/>
  <c r="B13" i="12"/>
  <c r="A13" i="12" s="1"/>
  <c r="C9" i="12"/>
  <c r="C13" i="12"/>
  <c r="B18" i="12"/>
  <c r="B22" i="12"/>
  <c r="C18" i="12"/>
  <c r="C22" i="12"/>
  <c r="B1" i="12"/>
  <c r="L386" i="1"/>
  <c r="L387" i="1"/>
  <c r="L388" i="1"/>
  <c r="L389" i="1"/>
  <c r="L390" i="1"/>
  <c r="L391" i="1"/>
  <c r="L394" i="1"/>
  <c r="L400" i="1" s="1"/>
  <c r="C138" i="2" s="1"/>
  <c r="L395" i="1"/>
  <c r="L396" i="1"/>
  <c r="L397" i="1"/>
  <c r="L398" i="1"/>
  <c r="L399" i="1"/>
  <c r="L402" i="1"/>
  <c r="L403" i="1"/>
  <c r="L404" i="1"/>
  <c r="L405" i="1"/>
  <c r="L265" i="1"/>
  <c r="J59" i="1"/>
  <c r="G55" i="2" s="1"/>
  <c r="G58" i="2"/>
  <c r="G60" i="2"/>
  <c r="F2" i="11"/>
  <c r="L612" i="1"/>
  <c r="H662" i="1" s="1"/>
  <c r="L611" i="1"/>
  <c r="G662" i="1" s="1"/>
  <c r="L610" i="1"/>
  <c r="F662" i="1" s="1"/>
  <c r="C40" i="10"/>
  <c r="F59" i="1"/>
  <c r="G59" i="1"/>
  <c r="D55" i="2" s="1"/>
  <c r="H59" i="1"/>
  <c r="I59" i="1"/>
  <c r="F55" i="2" s="1"/>
  <c r="F78" i="1"/>
  <c r="F93" i="1"/>
  <c r="F110" i="1"/>
  <c r="G110" i="1"/>
  <c r="G111" i="1" s="1"/>
  <c r="H78" i="1"/>
  <c r="H93" i="1"/>
  <c r="E57" i="2" s="1"/>
  <c r="E61" i="2" s="1"/>
  <c r="E62" i="2" s="1"/>
  <c r="H110" i="1"/>
  <c r="I110" i="1"/>
  <c r="I111" i="1" s="1"/>
  <c r="J110" i="1"/>
  <c r="J111" i="1" s="1"/>
  <c r="F120" i="1"/>
  <c r="F135" i="1"/>
  <c r="G120" i="1"/>
  <c r="G135" i="1"/>
  <c r="H120" i="1"/>
  <c r="H135" i="1"/>
  <c r="I120" i="1"/>
  <c r="I135" i="1"/>
  <c r="J120" i="1"/>
  <c r="J135" i="1"/>
  <c r="F146" i="1"/>
  <c r="C84" i="2" s="1"/>
  <c r="C90" i="2" s="1"/>
  <c r="F161" i="1"/>
  <c r="G146" i="1"/>
  <c r="G161" i="1"/>
  <c r="H146" i="1"/>
  <c r="E84" i="2" s="1"/>
  <c r="H161" i="1"/>
  <c r="I146" i="1"/>
  <c r="I168" i="1" s="1"/>
  <c r="I161" i="1"/>
  <c r="C12" i="10"/>
  <c r="C16" i="10"/>
  <c r="C20" i="10"/>
  <c r="L249" i="1"/>
  <c r="L331" i="1"/>
  <c r="L253" i="1"/>
  <c r="C25" i="10"/>
  <c r="L267" i="1"/>
  <c r="L268" i="1"/>
  <c r="L348" i="1"/>
  <c r="E141" i="2" s="1"/>
  <c r="L349" i="1"/>
  <c r="I664" i="1"/>
  <c r="I669" i="1"/>
  <c r="L228" i="1"/>
  <c r="F661" i="1"/>
  <c r="G661" i="1"/>
  <c r="I668" i="1"/>
  <c r="C42" i="10"/>
  <c r="L373" i="1"/>
  <c r="L374" i="1"/>
  <c r="L375" i="1"/>
  <c r="L376" i="1"/>
  <c r="L377" i="1"/>
  <c r="L378" i="1"/>
  <c r="L379" i="1"/>
  <c r="B2" i="10"/>
  <c r="L343" i="1"/>
  <c r="L344" i="1"/>
  <c r="L345" i="1"/>
  <c r="E136" i="2" s="1"/>
  <c r="L346" i="1"/>
  <c r="K350" i="1"/>
  <c r="L520" i="1"/>
  <c r="F548" i="1" s="1"/>
  <c r="L521" i="1"/>
  <c r="F549" i="1" s="1"/>
  <c r="F551" i="1" s="1"/>
  <c r="L522" i="1"/>
  <c r="F550" i="1" s="1"/>
  <c r="L525" i="1"/>
  <c r="G548" i="1" s="1"/>
  <c r="G551" i="1" s="1"/>
  <c r="L526" i="1"/>
  <c r="G549" i="1" s="1"/>
  <c r="G550" i="1"/>
  <c r="K550" i="1" s="1"/>
  <c r="L530" i="1"/>
  <c r="H548" i="1" s="1"/>
  <c r="L531" i="1"/>
  <c r="H549" i="1" s="1"/>
  <c r="L532" i="1"/>
  <c r="H550" i="1" s="1"/>
  <c r="L535" i="1"/>
  <c r="I548" i="1" s="1"/>
  <c r="L536" i="1"/>
  <c r="I549" i="1" s="1"/>
  <c r="L537" i="1"/>
  <c r="I550" i="1" s="1"/>
  <c r="L540" i="1"/>
  <c r="J548" i="1" s="1"/>
  <c r="L541" i="1"/>
  <c r="J549" i="1" s="1"/>
  <c r="J551" i="1" s="1"/>
  <c r="L542" i="1"/>
  <c r="J550" i="1" s="1"/>
  <c r="E131" i="2"/>
  <c r="K269" i="1"/>
  <c r="J269" i="1"/>
  <c r="I269" i="1"/>
  <c r="H269" i="1"/>
  <c r="G269" i="1"/>
  <c r="F269" i="1"/>
  <c r="C131" i="2"/>
  <c r="A1" i="2"/>
  <c r="A2" i="2"/>
  <c r="C8" i="2"/>
  <c r="D8" i="2"/>
  <c r="E8" i="2"/>
  <c r="E18" i="2" s="1"/>
  <c r="F8" i="2"/>
  <c r="I438" i="1"/>
  <c r="J9" i="1" s="1"/>
  <c r="G8" i="2" s="1"/>
  <c r="C9" i="2"/>
  <c r="D9" i="2"/>
  <c r="E9" i="2"/>
  <c r="F9" i="2"/>
  <c r="F18" i="2" s="1"/>
  <c r="I439" i="1"/>
  <c r="J10" i="1" s="1"/>
  <c r="G9" i="2" s="1"/>
  <c r="C10" i="2"/>
  <c r="C11" i="2"/>
  <c r="D11" i="2"/>
  <c r="E11" i="2"/>
  <c r="F11" i="2"/>
  <c r="I440" i="1"/>
  <c r="J12" i="1" s="1"/>
  <c r="G11" i="2" s="1"/>
  <c r="C12" i="2"/>
  <c r="D12" i="2"/>
  <c r="E12" i="2"/>
  <c r="F12" i="2"/>
  <c r="I441" i="1"/>
  <c r="J13" i="1" s="1"/>
  <c r="G12" i="2" s="1"/>
  <c r="C13" i="2"/>
  <c r="D13" i="2"/>
  <c r="E13" i="2"/>
  <c r="F13" i="2"/>
  <c r="I442" i="1"/>
  <c r="J14" i="1" s="1"/>
  <c r="G13" i="2" s="1"/>
  <c r="F14" i="2"/>
  <c r="C15" i="2"/>
  <c r="D15" i="2"/>
  <c r="E15" i="2"/>
  <c r="F15" i="2"/>
  <c r="C16" i="2"/>
  <c r="D16" i="2"/>
  <c r="E16" i="2"/>
  <c r="F16" i="2"/>
  <c r="I443" i="1"/>
  <c r="J17" i="1" s="1"/>
  <c r="C17" i="2"/>
  <c r="D17" i="2"/>
  <c r="E17" i="2"/>
  <c r="F17" i="2"/>
  <c r="I444" i="1"/>
  <c r="J18" i="1" s="1"/>
  <c r="G17" i="2" s="1"/>
  <c r="C21" i="2"/>
  <c r="D21" i="2"/>
  <c r="D31" i="2" s="1"/>
  <c r="E21" i="2"/>
  <c r="F21" i="2"/>
  <c r="F31" i="2" s="1"/>
  <c r="I447" i="1"/>
  <c r="J22" i="1" s="1"/>
  <c r="C22" i="2"/>
  <c r="D22" i="2"/>
  <c r="E22" i="2"/>
  <c r="E31" i="2" s="1"/>
  <c r="F22" i="2"/>
  <c r="I448" i="1"/>
  <c r="J23" i="1" s="1"/>
  <c r="C23" i="2"/>
  <c r="D23" i="2"/>
  <c r="E23" i="2"/>
  <c r="F23" i="2"/>
  <c r="I449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0" i="1"/>
  <c r="J31" i="1" s="1"/>
  <c r="G30" i="2" s="1"/>
  <c r="C34" i="2"/>
  <c r="D34" i="2"/>
  <c r="D49" i="2" s="1"/>
  <c r="E34" i="2"/>
  <c r="F34" i="2"/>
  <c r="C35" i="2"/>
  <c r="D35" i="2"/>
  <c r="E35" i="2"/>
  <c r="F35" i="2"/>
  <c r="I453" i="1"/>
  <c r="J48" i="1" s="1"/>
  <c r="G47" i="2" s="1"/>
  <c r="I455" i="1"/>
  <c r="J43" i="1" s="1"/>
  <c r="I456" i="1"/>
  <c r="J37" i="1" s="1"/>
  <c r="I458" i="1"/>
  <c r="J47" i="1" s="1"/>
  <c r="G46" i="2" s="1"/>
  <c r="C48" i="2"/>
  <c r="C55" i="2"/>
  <c r="E55" i="2"/>
  <c r="C56" i="2"/>
  <c r="E56" i="2"/>
  <c r="C57" i="2"/>
  <c r="C58" i="2"/>
  <c r="D58" i="2"/>
  <c r="E58" i="2"/>
  <c r="F58" i="2"/>
  <c r="D59" i="2"/>
  <c r="D61" i="2" s="1"/>
  <c r="C60" i="2"/>
  <c r="D60" i="2"/>
  <c r="E60" i="2"/>
  <c r="F60" i="2"/>
  <c r="C65" i="2"/>
  <c r="C66" i="2"/>
  <c r="C68" i="2"/>
  <c r="D68" i="2"/>
  <c r="D69" i="2" s="1"/>
  <c r="E68" i="2"/>
  <c r="E69" i="2" s="1"/>
  <c r="F68" i="2"/>
  <c r="F69" i="2" s="1"/>
  <c r="G68" i="2"/>
  <c r="G69" i="2" s="1"/>
  <c r="C71" i="2"/>
  <c r="F71" i="2"/>
  <c r="C72" i="2"/>
  <c r="F72" i="2"/>
  <c r="C73" i="2"/>
  <c r="C74" i="2"/>
  <c r="C75" i="2"/>
  <c r="E75" i="2"/>
  <c r="F75" i="2"/>
  <c r="F77" i="2" s="1"/>
  <c r="F80" i="2" s="1"/>
  <c r="C76" i="2"/>
  <c r="D76" i="2"/>
  <c r="D77" i="2" s="1"/>
  <c r="E76" i="2"/>
  <c r="F76" i="2"/>
  <c r="G76" i="2"/>
  <c r="G77" i="2" s="1"/>
  <c r="C78" i="2"/>
  <c r="D78" i="2"/>
  <c r="E78" i="2"/>
  <c r="C79" i="2"/>
  <c r="E79" i="2"/>
  <c r="D84" i="2"/>
  <c r="F84" i="2"/>
  <c r="F90" i="2" s="1"/>
  <c r="C86" i="2"/>
  <c r="E86" i="2"/>
  <c r="F86" i="2"/>
  <c r="C87" i="2"/>
  <c r="D87" i="2"/>
  <c r="E87" i="2"/>
  <c r="F87" i="2"/>
  <c r="C88" i="2"/>
  <c r="D88" i="2"/>
  <c r="E88" i="2"/>
  <c r="F88" i="2"/>
  <c r="C89" i="2"/>
  <c r="C92" i="2"/>
  <c r="F92" i="2"/>
  <c r="F102" i="2" s="1"/>
  <c r="C93" i="2"/>
  <c r="F93" i="2"/>
  <c r="D95" i="2"/>
  <c r="E95" i="2"/>
  <c r="F95" i="2"/>
  <c r="G95" i="2"/>
  <c r="G102" i="2" s="1"/>
  <c r="C96" i="2"/>
  <c r="D96" i="2"/>
  <c r="E96" i="2"/>
  <c r="F96" i="2"/>
  <c r="G96" i="2"/>
  <c r="C97" i="2"/>
  <c r="C102" i="2" s="1"/>
  <c r="D97" i="2"/>
  <c r="E97" i="2"/>
  <c r="G97" i="2"/>
  <c r="C98" i="2"/>
  <c r="D98" i="2"/>
  <c r="E98" i="2"/>
  <c r="F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8" i="2"/>
  <c r="E108" i="2"/>
  <c r="C109" i="2"/>
  <c r="C110" i="2"/>
  <c r="E110" i="2"/>
  <c r="C111" i="2"/>
  <c r="C112" i="2"/>
  <c r="E112" i="2"/>
  <c r="C113" i="2"/>
  <c r="C114" i="2"/>
  <c r="D114" i="2"/>
  <c r="F114" i="2"/>
  <c r="G114" i="2"/>
  <c r="C117" i="2"/>
  <c r="E117" i="2"/>
  <c r="C118" i="2"/>
  <c r="E119" i="2"/>
  <c r="C120" i="2"/>
  <c r="C121" i="2"/>
  <c r="E121" i="2"/>
  <c r="C122" i="2"/>
  <c r="C123" i="2"/>
  <c r="E123" i="2"/>
  <c r="C124" i="2"/>
  <c r="F127" i="2"/>
  <c r="G127" i="2"/>
  <c r="C129" i="2"/>
  <c r="E129" i="2"/>
  <c r="F129" i="2"/>
  <c r="D133" i="2"/>
  <c r="D143" i="2" s="1"/>
  <c r="E133" i="2"/>
  <c r="F133" i="2"/>
  <c r="K418" i="1"/>
  <c r="K426" i="1"/>
  <c r="K432" i="1"/>
  <c r="L262" i="1"/>
  <c r="C134" i="2" s="1"/>
  <c r="E134" i="2"/>
  <c r="L263" i="1"/>
  <c r="C135" i="2" s="1"/>
  <c r="L264" i="1"/>
  <c r="C136" i="2" s="1"/>
  <c r="C141" i="2"/>
  <c r="C142" i="2"/>
  <c r="E142" i="2"/>
  <c r="B150" i="2"/>
  <c r="C150" i="2"/>
  <c r="D150" i="2"/>
  <c r="E150" i="2"/>
  <c r="F150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F499" i="1"/>
  <c r="B160" i="2" s="1"/>
  <c r="G499" i="1"/>
  <c r="C160" i="2" s="1"/>
  <c r="H499" i="1"/>
  <c r="D160" i="2" s="1"/>
  <c r="I499" i="1"/>
  <c r="E160" i="2" s="1"/>
  <c r="J499" i="1"/>
  <c r="F160" i="2" s="1"/>
  <c r="B161" i="2"/>
  <c r="C161" i="2"/>
  <c r="D161" i="2"/>
  <c r="E161" i="2"/>
  <c r="F161" i="2"/>
  <c r="B162" i="2"/>
  <c r="C162" i="2"/>
  <c r="D162" i="2"/>
  <c r="E162" i="2"/>
  <c r="F162" i="2"/>
  <c r="F502" i="1"/>
  <c r="B163" i="2" s="1"/>
  <c r="G502" i="1"/>
  <c r="C163" i="2" s="1"/>
  <c r="G163" i="2" s="1"/>
  <c r="H502" i="1"/>
  <c r="D163" i="2" s="1"/>
  <c r="I502" i="1"/>
  <c r="E163" i="2" s="1"/>
  <c r="J502" i="1"/>
  <c r="F163" i="2" s="1"/>
  <c r="F19" i="1"/>
  <c r="G616" i="1" s="1"/>
  <c r="G19" i="1"/>
  <c r="H19" i="1"/>
  <c r="I19" i="1"/>
  <c r="F32" i="1"/>
  <c r="G32" i="1"/>
  <c r="H32" i="1"/>
  <c r="I32" i="1"/>
  <c r="F50" i="1"/>
  <c r="G50" i="1"/>
  <c r="G51" i="1" s="1"/>
  <c r="H617" i="1" s="1"/>
  <c r="H50" i="1"/>
  <c r="H51" i="1" s="1"/>
  <c r="H618" i="1" s="1"/>
  <c r="I50" i="1"/>
  <c r="I51" i="1" s="1"/>
  <c r="H619" i="1" s="1"/>
  <c r="F176" i="1"/>
  <c r="I176" i="1"/>
  <c r="F182" i="1"/>
  <c r="G182" i="1"/>
  <c r="H182" i="1"/>
  <c r="I182" i="1"/>
  <c r="J182" i="1"/>
  <c r="J191" i="1" s="1"/>
  <c r="F187" i="1"/>
  <c r="G187" i="1"/>
  <c r="G191" i="1" s="1"/>
  <c r="H187" i="1"/>
  <c r="I187" i="1"/>
  <c r="F210" i="1"/>
  <c r="G210" i="1"/>
  <c r="H210" i="1"/>
  <c r="I210" i="1"/>
  <c r="J210" i="1"/>
  <c r="K210" i="1"/>
  <c r="F228" i="1"/>
  <c r="G228" i="1"/>
  <c r="H228" i="1"/>
  <c r="I228" i="1"/>
  <c r="J228" i="1"/>
  <c r="K228" i="1"/>
  <c r="F246" i="1"/>
  <c r="G246" i="1"/>
  <c r="H246" i="1"/>
  <c r="I246" i="1"/>
  <c r="J246" i="1"/>
  <c r="K246" i="1"/>
  <c r="F255" i="1"/>
  <c r="G255" i="1"/>
  <c r="L255" i="1" s="1"/>
  <c r="H255" i="1"/>
  <c r="I255" i="1"/>
  <c r="J255" i="1"/>
  <c r="K255" i="1"/>
  <c r="F256" i="1"/>
  <c r="F270" i="1" s="1"/>
  <c r="L269" i="1"/>
  <c r="F289" i="1"/>
  <c r="G289" i="1"/>
  <c r="H289" i="1"/>
  <c r="I289" i="1"/>
  <c r="F308" i="1"/>
  <c r="G308" i="1"/>
  <c r="H308" i="1"/>
  <c r="I308" i="1"/>
  <c r="F327" i="1"/>
  <c r="G327" i="1"/>
  <c r="H327" i="1"/>
  <c r="I327" i="1"/>
  <c r="F336" i="1"/>
  <c r="G336" i="1"/>
  <c r="H336" i="1"/>
  <c r="I336" i="1"/>
  <c r="J336" i="1"/>
  <c r="K336" i="1"/>
  <c r="K337" i="1" s="1"/>
  <c r="K351" i="1" s="1"/>
  <c r="F361" i="1"/>
  <c r="G361" i="1"/>
  <c r="H361" i="1"/>
  <c r="I361" i="1"/>
  <c r="G633" i="1" s="1"/>
  <c r="J361" i="1"/>
  <c r="K361" i="1"/>
  <c r="I367" i="1"/>
  <c r="F368" i="1"/>
  <c r="G368" i="1"/>
  <c r="H368" i="1"/>
  <c r="L380" i="1"/>
  <c r="F381" i="1"/>
  <c r="G381" i="1"/>
  <c r="H381" i="1"/>
  <c r="I381" i="1"/>
  <c r="J381" i="1"/>
  <c r="K381" i="1"/>
  <c r="F392" i="1"/>
  <c r="G392" i="1"/>
  <c r="H392" i="1"/>
  <c r="I392" i="1"/>
  <c r="F400" i="1"/>
  <c r="G400" i="1"/>
  <c r="H400" i="1"/>
  <c r="I400" i="1"/>
  <c r="F406" i="1"/>
  <c r="G406" i="1"/>
  <c r="H406" i="1"/>
  <c r="I406" i="1"/>
  <c r="F407" i="1"/>
  <c r="G407" i="1"/>
  <c r="H407" i="1"/>
  <c r="H643" i="1" s="1"/>
  <c r="I407" i="1"/>
  <c r="L412" i="1"/>
  <c r="L413" i="1"/>
  <c r="L414" i="1"/>
  <c r="L415" i="1"/>
  <c r="L416" i="1"/>
  <c r="L417" i="1"/>
  <c r="F418" i="1"/>
  <c r="G418" i="1"/>
  <c r="H418" i="1"/>
  <c r="I418" i="1"/>
  <c r="J418" i="1"/>
  <c r="L420" i="1"/>
  <c r="L421" i="1"/>
  <c r="L422" i="1"/>
  <c r="L423" i="1"/>
  <c r="L424" i="1"/>
  <c r="L425" i="1"/>
  <c r="F426" i="1"/>
  <c r="G426" i="1"/>
  <c r="H426" i="1"/>
  <c r="I426" i="1"/>
  <c r="J426" i="1"/>
  <c r="L428" i="1"/>
  <c r="L432" i="1" s="1"/>
  <c r="L429" i="1"/>
  <c r="L430" i="1"/>
  <c r="L431" i="1"/>
  <c r="F432" i="1"/>
  <c r="G432" i="1"/>
  <c r="H432" i="1"/>
  <c r="I432" i="1"/>
  <c r="J432" i="1"/>
  <c r="F445" i="1"/>
  <c r="G638" i="1" s="1"/>
  <c r="G445" i="1"/>
  <c r="G639" i="1" s="1"/>
  <c r="H445" i="1"/>
  <c r="I445" i="1"/>
  <c r="G641" i="1" s="1"/>
  <c r="F451" i="1"/>
  <c r="G451" i="1"/>
  <c r="H451" i="1"/>
  <c r="I451" i="1"/>
  <c r="F459" i="1"/>
  <c r="G459" i="1"/>
  <c r="H459" i="1"/>
  <c r="I459" i="1"/>
  <c r="F460" i="1"/>
  <c r="H638" i="1" s="1"/>
  <c r="G460" i="1"/>
  <c r="H460" i="1"/>
  <c r="I460" i="1"/>
  <c r="F469" i="1"/>
  <c r="G469" i="1"/>
  <c r="G475" i="1" s="1"/>
  <c r="H622" i="1" s="1"/>
  <c r="H469" i="1"/>
  <c r="I469" i="1"/>
  <c r="J469" i="1"/>
  <c r="F473" i="1"/>
  <c r="F475" i="1" s="1"/>
  <c r="H621" i="1" s="1"/>
  <c r="G473" i="1"/>
  <c r="H473" i="1"/>
  <c r="I473" i="1"/>
  <c r="J473" i="1"/>
  <c r="J475" i="1" s="1"/>
  <c r="H625" i="1" s="1"/>
  <c r="K494" i="1"/>
  <c r="K495" i="1"/>
  <c r="K496" i="1"/>
  <c r="K497" i="1"/>
  <c r="K498" i="1"/>
  <c r="K500" i="1"/>
  <c r="K501" i="1"/>
  <c r="K502" i="1"/>
  <c r="F516" i="1"/>
  <c r="G516" i="1"/>
  <c r="H516" i="1"/>
  <c r="I516" i="1"/>
  <c r="F523" i="1"/>
  <c r="G523" i="1"/>
  <c r="H523" i="1"/>
  <c r="I523" i="1"/>
  <c r="J523" i="1"/>
  <c r="K523" i="1"/>
  <c r="F528" i="1"/>
  <c r="G528" i="1"/>
  <c r="H528" i="1"/>
  <c r="I528" i="1"/>
  <c r="J528" i="1"/>
  <c r="K528" i="1"/>
  <c r="F533" i="1"/>
  <c r="G533" i="1"/>
  <c r="H533" i="1"/>
  <c r="I533" i="1"/>
  <c r="J533" i="1"/>
  <c r="K533" i="1"/>
  <c r="F538" i="1"/>
  <c r="G538" i="1"/>
  <c r="H538" i="1"/>
  <c r="I538" i="1"/>
  <c r="J538" i="1"/>
  <c r="J544" i="1" s="1"/>
  <c r="K538" i="1"/>
  <c r="L538" i="1"/>
  <c r="F543" i="1"/>
  <c r="G543" i="1"/>
  <c r="H543" i="1"/>
  <c r="I543" i="1"/>
  <c r="J543" i="1"/>
  <c r="K543" i="1"/>
  <c r="L556" i="1"/>
  <c r="L557" i="1"/>
  <c r="L558" i="1"/>
  <c r="F559" i="1"/>
  <c r="G559" i="1"/>
  <c r="H559" i="1"/>
  <c r="I559" i="1"/>
  <c r="J559" i="1"/>
  <c r="K559" i="1"/>
  <c r="L561" i="1"/>
  <c r="L562" i="1"/>
  <c r="L564" i="1" s="1"/>
  <c r="L563" i="1"/>
  <c r="F564" i="1"/>
  <c r="F570" i="1" s="1"/>
  <c r="G564" i="1"/>
  <c r="H564" i="1"/>
  <c r="I564" i="1"/>
  <c r="J564" i="1"/>
  <c r="J570" i="1" s="1"/>
  <c r="K564" i="1"/>
  <c r="L566" i="1"/>
  <c r="L569" i="1" s="1"/>
  <c r="L567" i="1"/>
  <c r="L568" i="1"/>
  <c r="F569" i="1"/>
  <c r="G569" i="1"/>
  <c r="H569" i="1"/>
  <c r="I569" i="1"/>
  <c r="J569" i="1"/>
  <c r="K569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K590" i="1"/>
  <c r="K591" i="1"/>
  <c r="K592" i="1"/>
  <c r="K593" i="1"/>
  <c r="K594" i="1"/>
  <c r="K595" i="1"/>
  <c r="K596" i="1"/>
  <c r="H597" i="1"/>
  <c r="H648" i="1" s="1"/>
  <c r="I597" i="1"/>
  <c r="H649" i="1" s="1"/>
  <c r="J597" i="1"/>
  <c r="H650" i="1" s="1"/>
  <c r="K601" i="1"/>
  <c r="K602" i="1"/>
  <c r="K603" i="1"/>
  <c r="H604" i="1"/>
  <c r="I604" i="1"/>
  <c r="J604" i="1"/>
  <c r="F613" i="1"/>
  <c r="G613" i="1"/>
  <c r="H613" i="1"/>
  <c r="I613" i="1"/>
  <c r="J613" i="1"/>
  <c r="K613" i="1"/>
  <c r="L613" i="1"/>
  <c r="G617" i="1"/>
  <c r="G618" i="1"/>
  <c r="G619" i="1"/>
  <c r="G621" i="1"/>
  <c r="G622" i="1"/>
  <c r="G623" i="1"/>
  <c r="G624" i="1"/>
  <c r="H626" i="1"/>
  <c r="H627" i="1"/>
  <c r="H628" i="1"/>
  <c r="H629" i="1"/>
  <c r="H630" i="1"/>
  <c r="H631" i="1"/>
  <c r="H632" i="1"/>
  <c r="H634" i="1"/>
  <c r="H635" i="1"/>
  <c r="H636" i="1"/>
  <c r="H637" i="1"/>
  <c r="H639" i="1"/>
  <c r="G640" i="1"/>
  <c r="H640" i="1"/>
  <c r="J640" i="1" s="1"/>
  <c r="H641" i="1"/>
  <c r="G642" i="1"/>
  <c r="H642" i="1"/>
  <c r="G643" i="1"/>
  <c r="G644" i="1"/>
  <c r="H644" i="1"/>
  <c r="H646" i="1"/>
  <c r="G648" i="1"/>
  <c r="G649" i="1"/>
  <c r="G651" i="1"/>
  <c r="H651" i="1"/>
  <c r="G652" i="1"/>
  <c r="H652" i="1"/>
  <c r="G653" i="1"/>
  <c r="F191" i="1"/>
  <c r="I256" i="1"/>
  <c r="I270" i="1" s="1"/>
  <c r="C18" i="2"/>
  <c r="C26" i="10"/>
  <c r="L350" i="1"/>
  <c r="A31" i="12"/>
  <c r="D12" i="13"/>
  <c r="C12" i="13" s="1"/>
  <c r="E49" i="2"/>
  <c r="D7" i="13"/>
  <c r="C7" i="13" s="1"/>
  <c r="D18" i="2"/>
  <c r="D17" i="13"/>
  <c r="C17" i="13" s="1"/>
  <c r="E8" i="13"/>
  <c r="C8" i="13" s="1"/>
  <c r="G80" i="2"/>
  <c r="F61" i="2"/>
  <c r="C77" i="2"/>
  <c r="F49" i="2"/>
  <c r="G157" i="2"/>
  <c r="E102" i="2"/>
  <c r="D90" i="2"/>
  <c r="G61" i="2"/>
  <c r="D19" i="13"/>
  <c r="C19" i="13" s="1"/>
  <c r="E13" i="13"/>
  <c r="C13" i="13" s="1"/>
  <c r="E77" i="2"/>
  <c r="J256" i="1"/>
  <c r="J270" i="1" s="1"/>
  <c r="F111" i="1"/>
  <c r="K604" i="1"/>
  <c r="G647" i="1" s="1"/>
  <c r="K570" i="1"/>
  <c r="L418" i="1"/>
  <c r="H168" i="1"/>
  <c r="J642" i="1"/>
  <c r="H475" i="1"/>
  <c r="H623" i="1" s="1"/>
  <c r="I475" i="1"/>
  <c r="H624" i="1" s="1"/>
  <c r="J624" i="1" s="1"/>
  <c r="G337" i="1"/>
  <c r="G351" i="1" s="1"/>
  <c r="J139" i="1"/>
  <c r="I551" i="1"/>
  <c r="G22" i="2"/>
  <c r="H551" i="1"/>
  <c r="H139" i="1"/>
  <c r="L392" i="1"/>
  <c r="C137" i="2" s="1"/>
  <c r="F22" i="13"/>
  <c r="L559" i="1"/>
  <c r="H337" i="1"/>
  <c r="H351" i="1" s="1"/>
  <c r="H191" i="1"/>
  <c r="C35" i="10"/>
  <c r="D5" i="13"/>
  <c r="C5" i="13" s="1"/>
  <c r="C49" i="2"/>
  <c r="J644" i="1"/>
  <c r="I570" i="1"/>
  <c r="G36" i="2"/>
  <c r="H544" i="1"/>
  <c r="C22" i="13"/>
  <c r="E143" i="2" l="1"/>
  <c r="E114" i="2"/>
  <c r="D62" i="2"/>
  <c r="F62" i="2"/>
  <c r="H25" i="13"/>
  <c r="K548" i="1"/>
  <c r="F168" i="1"/>
  <c r="H111" i="1"/>
  <c r="E80" i="2"/>
  <c r="D6" i="13"/>
  <c r="C6" i="13" s="1"/>
  <c r="L289" i="1"/>
  <c r="L543" i="1"/>
  <c r="L533" i="1"/>
  <c r="L381" i="1"/>
  <c r="G635" i="1" s="1"/>
  <c r="J635" i="1" s="1"/>
  <c r="J337" i="1"/>
  <c r="J351" i="1" s="1"/>
  <c r="C130" i="2"/>
  <c r="C23" i="10"/>
  <c r="L361" i="1"/>
  <c r="G162" i="2"/>
  <c r="H661" i="1"/>
  <c r="I661" i="1" s="1"/>
  <c r="H570" i="1"/>
  <c r="L336" i="1"/>
  <c r="K549" i="1"/>
  <c r="K551" i="1" s="1"/>
  <c r="I544" i="1"/>
  <c r="G544" i="1"/>
  <c r="F50" i="2"/>
  <c r="K544" i="1"/>
  <c r="G160" i="2"/>
  <c r="G159" i="2"/>
  <c r="G158" i="2"/>
  <c r="G156" i="2"/>
  <c r="G155" i="2"/>
  <c r="C31" i="2"/>
  <c r="L528" i="1"/>
  <c r="L523" i="1"/>
  <c r="J623" i="1"/>
  <c r="E50" i="2"/>
  <c r="C61" i="2"/>
  <c r="C62" i="2" s="1"/>
  <c r="J622" i="1"/>
  <c r="C50" i="2"/>
  <c r="J621" i="1"/>
  <c r="F51" i="1"/>
  <c r="H616" i="1" s="1"/>
  <c r="J616" i="1" s="1"/>
  <c r="K597" i="1"/>
  <c r="G646" i="1" s="1"/>
  <c r="D80" i="2"/>
  <c r="G161" i="2"/>
  <c r="J643" i="1"/>
  <c r="E118" i="2"/>
  <c r="E127" i="2" s="1"/>
  <c r="F337" i="1"/>
  <c r="F351" i="1" s="1"/>
  <c r="L426" i="1"/>
  <c r="L433" i="1" s="1"/>
  <c r="G637" i="1" s="1"/>
  <c r="J637" i="1" s="1"/>
  <c r="J639" i="1"/>
  <c r="J638" i="1"/>
  <c r="H256" i="1"/>
  <c r="H270" i="1" s="1"/>
  <c r="L246" i="1"/>
  <c r="H659" i="1" s="1"/>
  <c r="K256" i="1"/>
  <c r="K270" i="1" s="1"/>
  <c r="D15" i="13"/>
  <c r="C15" i="13" s="1"/>
  <c r="G650" i="1"/>
  <c r="G256" i="1"/>
  <c r="G270" i="1" s="1"/>
  <c r="J650" i="1"/>
  <c r="C18" i="10"/>
  <c r="C17" i="10"/>
  <c r="C13" i="10"/>
  <c r="C11" i="10"/>
  <c r="C10" i="10"/>
  <c r="C119" i="2"/>
  <c r="C127" i="2" s="1"/>
  <c r="J646" i="1"/>
  <c r="E33" i="13"/>
  <c r="D35" i="13" s="1"/>
  <c r="L210" i="1"/>
  <c r="J648" i="1"/>
  <c r="I368" i="1"/>
  <c r="H633" i="1" s="1"/>
  <c r="J633" i="1" s="1"/>
  <c r="F660" i="1"/>
  <c r="D126" i="2"/>
  <c r="D127" i="2" s="1"/>
  <c r="D144" i="2" s="1"/>
  <c r="G660" i="1"/>
  <c r="H660" i="1"/>
  <c r="C69" i="2"/>
  <c r="C80" i="2" s="1"/>
  <c r="C103" i="2" s="1"/>
  <c r="K499" i="1"/>
  <c r="L337" i="1"/>
  <c r="L351" i="1" s="1"/>
  <c r="G632" i="1" s="1"/>
  <c r="J632" i="1" s="1"/>
  <c r="C24" i="10"/>
  <c r="G659" i="1"/>
  <c r="G31" i="13"/>
  <c r="G33" i="13" s="1"/>
  <c r="I337" i="1"/>
  <c r="I351" i="1" s="1"/>
  <c r="J649" i="1"/>
  <c r="L406" i="1"/>
  <c r="C139" i="2" s="1"/>
  <c r="C140" i="2" s="1"/>
  <c r="C143" i="2" s="1"/>
  <c r="L570" i="1"/>
  <c r="I191" i="1"/>
  <c r="E90" i="2"/>
  <c r="L407" i="1"/>
  <c r="G636" i="1" s="1"/>
  <c r="J636" i="1" s="1"/>
  <c r="D50" i="2"/>
  <c r="J653" i="1"/>
  <c r="J652" i="1"/>
  <c r="F143" i="2"/>
  <c r="F144" i="2" s="1"/>
  <c r="G21" i="2"/>
  <c r="G31" i="2" s="1"/>
  <c r="J32" i="1"/>
  <c r="J433" i="1"/>
  <c r="F433" i="1"/>
  <c r="K433" i="1"/>
  <c r="G133" i="2" s="1"/>
  <c r="G143" i="2" s="1"/>
  <c r="G144" i="2" s="1"/>
  <c r="F31" i="13"/>
  <c r="J192" i="1"/>
  <c r="G645" i="1" s="1"/>
  <c r="F103" i="2"/>
  <c r="H192" i="1"/>
  <c r="G628" i="1" s="1"/>
  <c r="J628" i="1" s="1"/>
  <c r="G168" i="1"/>
  <c r="C39" i="10" s="1"/>
  <c r="G139" i="1"/>
  <c r="F139" i="1"/>
  <c r="F192" i="1" s="1"/>
  <c r="G626" i="1" s="1"/>
  <c r="J626" i="1" s="1"/>
  <c r="C36" i="10"/>
  <c r="G62" i="2"/>
  <c r="G103" i="2" s="1"/>
  <c r="J617" i="1"/>
  <c r="G42" i="2"/>
  <c r="G49" i="2" s="1"/>
  <c r="G50" i="2" s="1"/>
  <c r="J50" i="1"/>
  <c r="G16" i="2"/>
  <c r="G18" i="2" s="1"/>
  <c r="J19" i="1"/>
  <c r="G620" i="1" s="1"/>
  <c r="F33" i="13"/>
  <c r="F544" i="1"/>
  <c r="H433" i="1"/>
  <c r="J619" i="1"/>
  <c r="J618" i="1"/>
  <c r="D102" i="2"/>
  <c r="I139" i="1"/>
  <c r="I192" i="1" s="1"/>
  <c r="G629" i="1" s="1"/>
  <c r="J629" i="1" s="1"/>
  <c r="A22" i="12"/>
  <c r="H647" i="1"/>
  <c r="J647" i="1" s="1"/>
  <c r="J651" i="1"/>
  <c r="J641" i="1"/>
  <c r="G570" i="1"/>
  <c r="I433" i="1"/>
  <c r="G433" i="1"/>
  <c r="E103" i="2"/>
  <c r="I662" i="1"/>
  <c r="C27" i="10"/>
  <c r="G634" i="1"/>
  <c r="J634" i="1" s="1"/>
  <c r="C25" i="13" l="1"/>
  <c r="H33" i="13"/>
  <c r="D103" i="2"/>
  <c r="F659" i="1"/>
  <c r="E144" i="2"/>
  <c r="L544" i="1"/>
  <c r="D31" i="13"/>
  <c r="C31" i="13" s="1"/>
  <c r="H645" i="1"/>
  <c r="J645" i="1" s="1"/>
  <c r="I659" i="1"/>
  <c r="C28" i="10"/>
  <c r="D24" i="10" s="1"/>
  <c r="C144" i="2"/>
  <c r="L256" i="1"/>
  <c r="L270" i="1" s="1"/>
  <c r="G631" i="1" s="1"/>
  <c r="J631" i="1" s="1"/>
  <c r="F663" i="1"/>
  <c r="F666" i="1" s="1"/>
  <c r="G663" i="1"/>
  <c r="G671" i="1" s="1"/>
  <c r="C5" i="10" s="1"/>
  <c r="I660" i="1"/>
  <c r="G666" i="1"/>
  <c r="H663" i="1"/>
  <c r="G630" i="1"/>
  <c r="J630" i="1" s="1"/>
  <c r="I663" i="1"/>
  <c r="I671" i="1" s="1"/>
  <c r="C7" i="10" s="1"/>
  <c r="G192" i="1"/>
  <c r="G627" i="1" s="1"/>
  <c r="J627" i="1" s="1"/>
  <c r="G625" i="1"/>
  <c r="J625" i="1" s="1"/>
  <c r="J51" i="1"/>
  <c r="H620" i="1" s="1"/>
  <c r="J620" i="1" s="1"/>
  <c r="C38" i="10"/>
  <c r="D16" i="10"/>
  <c r="D26" i="10"/>
  <c r="D33" i="13" l="1"/>
  <c r="D36" i="13" s="1"/>
  <c r="D10" i="10"/>
  <c r="C30" i="10"/>
  <c r="D23" i="10"/>
  <c r="D13" i="10"/>
  <c r="D11" i="10"/>
  <c r="D21" i="10"/>
  <c r="D22" i="10"/>
  <c r="D27" i="10"/>
  <c r="D20" i="10"/>
  <c r="D18" i="10"/>
  <c r="D15" i="10"/>
  <c r="D17" i="10"/>
  <c r="D25" i="10"/>
  <c r="D12" i="10"/>
  <c r="D19" i="10"/>
  <c r="F671" i="1"/>
  <c r="C4" i="10" s="1"/>
  <c r="H666" i="1"/>
  <c r="H671" i="1"/>
  <c r="C6" i="10" s="1"/>
  <c r="I666" i="1"/>
  <c r="H655" i="1"/>
  <c r="C41" i="10"/>
  <c r="D38" i="10" s="1"/>
  <c r="D28" i="10" l="1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6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0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0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2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3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7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1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7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0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7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4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5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<sst xmlns="http://schemas.openxmlformats.org/spreadsheetml/2006/main" count="3954" uniqueCount="919">
  <si>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</si>
  <si>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</si>
  <si>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</si>
  <si>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</si>
  <si>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</si>
  <si>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</si>
  <si>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</si>
  <si>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</si>
  <si>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</si>
  <si>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</si>
  <si>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</si>
  <si>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</si>
  <si>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</si>
  <si>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</si>
  <si>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</si>
  <si>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</si>
  <si>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</si>
  <si>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</si>
  <si>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</si>
  <si>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</si>
  <si>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</si>
  <si>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</si>
  <si>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</si>
  <si>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</si>
  <si>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</si>
  <si>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</si>
  <si>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</si>
  <si>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</si>
  <si>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</si>
  <si>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</si>
  <si>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</si>
  <si>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</si>
  <si>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</si>
  <si>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</si>
  <si>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</si>
  <si>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</si>
  <si>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</si>
  <si>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</si>
  <si>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</si>
  <si>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</si>
  <si>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</si>
  <si>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</si>
  <si>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</si>
  <si>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</si>
  <si>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</si>
  <si>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</si>
  <si>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</si>
  <si>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</si>
  <si>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</si>
  <si>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</si>
  <si>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</si>
  <si>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</si>
  <si>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</si>
  <si>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</si>
  <si>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</si>
  <si>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</si>
  <si>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</si>
  <si>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</si>
  <si>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</si>
  <si>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</si>
  <si>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</si>
  <si>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</si>
  <si>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</si>
  <si>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</si>
  <si>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</si>
  <si>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</si>
  <si>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</si>
  <si>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</si>
  <si>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</si>
  <si>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</si>
  <si>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</si>
  <si>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</si>
  <si>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</si>
  <si>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</si>
  <si>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</si>
  <si>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</si>
  <si>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</si>
  <si>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</si>
  <si>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</si>
  <si>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</si>
  <si>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</si>
  <si>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</si>
  <si>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</si>
  <si>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</si>
  <si>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</si>
  <si>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</si>
  <si>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</si>
  <si>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</si>
  <si>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</si>
  <si>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</si>
  <si>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</si>
  <si>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</si>
  <si>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</si>
  <si>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</si>
  <si>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</si>
  <si>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</si>
  <si>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</si>
  <si>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</si>
  <si>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</si>
  <si>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</si>
  <si>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</si>
  <si>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</si>
  <si>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</si>
  <si>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</si>
  <si>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</si>
  <si>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</si>
  <si>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</si>
  <si>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</si>
  <si>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</si>
  <si>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</si>
  <si>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</si>
  <si>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</si>
  <si>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</si>
  <si>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</si>
  <si>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</si>
  <si>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</si>
  <si>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</si>
  <si>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</si>
  <si>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</si>
  <si>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</si>
  <si>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</si>
  <si>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</si>
  <si>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</si>
  <si>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</si>
  <si>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</si>
  <si>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</si>
  <si>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</si>
  <si>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</si>
  <si>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</si>
  <si>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</si>
  <si>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</si>
  <si>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</si>
  <si>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</si>
  <si>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</si>
  <si>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</si>
  <si>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</si>
  <si>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</si>
  <si>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</si>
  <si>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</si>
  <si>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</si>
  <si>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</si>
  <si>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</si>
  <si>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</si>
  <si>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</si>
  <si>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</si>
  <si>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</si>
  <si>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</si>
  <si>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</si>
  <si>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</si>
  <si>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</si>
  <si>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</si>
  <si>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</si>
  <si>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</si>
  <si>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</si>
  <si>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</si>
  <si>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</si>
  <si>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</si>
  <si>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</si>
  <si>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</si>
  <si>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</si>
  <si>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</si>
  <si>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</si>
  <si>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</si>
  <si>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</si>
  <si>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</si>
  <si>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</si>
  <si>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</si>
  <si>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</si>
  <si>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</si>
  <si>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</si>
  <si>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</si>
  <si>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</si>
  <si>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</si>
  <si>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</si>
  <si>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</si>
  <si>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</si>
  <si>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</si>
  <si>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</si>
  <si>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</si>
  <si>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</si>
  <si>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</si>
  <si>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</si>
  <si>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</si>
  <si>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</si>
  <si>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</si>
  <si>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</si>
  <si>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</si>
  <si>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</si>
  <si>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</si>
  <si>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</si>
  <si>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</si>
  <si>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</si>
  <si>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</si>
  <si>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</si>
  <si>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</si>
  <si>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</si>
  <si>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</si>
  <si>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</si>
  <si>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</si>
  <si>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</si>
  <si>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</si>
  <si>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</si>
  <si>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</si>
  <si>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</si>
  <si>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</si>
  <si>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</si>
  <si>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</si>
  <si>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</si>
  <si>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</si>
  <si>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</si>
  <si>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</si>
  <si>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</si>
  <si>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</si>
  <si>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</si>
  <si>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</si>
  <si>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</si>
  <si>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</si>
  <si>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</si>
  <si>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</si>
  <si>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</si>
  <si>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</si>
  <si>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</si>
  <si>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</si>
  <si>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</si>
  <si>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</si>
  <si>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</si>
  <si>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</si>
  <si>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</si>
  <si>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</si>
  <si>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</si>
  <si>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</si>
  <si>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</si>
  <si>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</si>
  <si>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</si>
  <si>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</si>
  <si>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</si>
  <si>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</si>
  <si>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</si>
  <si>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</si>
  <si>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</si>
  <si>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</si>
  <si>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</si>
  <si>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</si>
  <si>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</si>
  <si>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</si>
  <si>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</si>
  <si>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</si>
  <si>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</si>
  <si>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</si>
  <si>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</si>
  <si>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</si>
  <si>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</si>
  <si>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</si>
  <si>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</si>
  <si>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</si>
  <si>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</si>
  <si>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</si>
  <si>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</si>
  <si>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</si>
  <si>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</si>
  <si>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</si>
  <si>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</si>
  <si>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</si>
  <si>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</si>
  <si>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</si>
  <si>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</si>
  <si>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</si>
  <si>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</si>
  <si>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</si>
  <si>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</si>
  <si>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</si>
  <si>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</si>
  <si>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</si>
  <si>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</si>
  <si>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</si>
  <si>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</si>
  <si>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</si>
  <si>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</si>
  <si>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</si>
  <si>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</si>
  <si>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</si>
  <si>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</si>
  <si>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</si>
  <si>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</si>
  <si>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</si>
  <si>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</si>
  <si>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</si>
  <si>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</si>
  <si>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</si>
  <si>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</si>
  <si>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</si>
  <si>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</si>
  <si>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</si>
  <si>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</si>
  <si>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</si>
  <si>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</si>
  <si>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</si>
  <si>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</si>
  <si>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</si>
  <si>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</si>
  <si>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</si>
  <si>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</si>
  <si>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</si>
  <si>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</si>
  <si>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</si>
  <si>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</si>
  <si>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</si>
  <si>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</si>
  <si>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</si>
  <si>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</si>
  <si>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</si>
  <si>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</si>
  <si>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</si>
  <si>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</si>
  <si>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</si>
  <si>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</si>
  <si>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</si>
  <si>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</si>
  <si>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</si>
  <si>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</si>
  <si>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</si>
  <si>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</si>
  <si>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</si>
  <si>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</si>
  <si>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</si>
  <si>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</si>
  <si>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</si>
  <si>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</si>
  <si>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</si>
  <si>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</si>
  <si>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</si>
  <si>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</si>
  <si>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</si>
  <si>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</si>
  <si>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</si>
  <si>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</si>
  <si>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</si>
  <si>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</si>
  <si>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</si>
  <si>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</si>
  <si>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</si>
  <si>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</si>
  <si>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</si>
  <si>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</si>
  <si>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</si>
  <si>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</si>
  <si>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</si>
  <si>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</si>
  <si>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</si>
  <si>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</si>
  <si>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</si>
  <si>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</si>
  <si>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</si>
  <si>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</si>
  <si>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</si>
  <si>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</si>
  <si>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</si>
  <si>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</si>
  <si>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</si>
  <si>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</si>
  <si>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</si>
  <si>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</si>
  <si>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</si>
  <si>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</si>
  <si>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</si>
  <si>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</si>
  <si>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</si>
  <si>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</si>
  <si>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</si>
  <si>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</si>
  <si>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</si>
  <si>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</si>
  <si>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</si>
  <si>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</si>
  <si>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</si>
  <si>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</si>
  <si>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</si>
  <si>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</si>
  <si>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</si>
  <si>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</si>
  <si>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</si>
  <si>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</si>
  <si>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</si>
  <si>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</si>
  <si>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</si>
  <si>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</si>
  <si>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</si>
  <si>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</si>
  <si>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</si>
  <si>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</si>
  <si>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</si>
  <si>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</si>
  <si>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</si>
  <si>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</si>
  <si>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</si>
  <si>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</si>
  <si>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</si>
  <si>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</si>
  <si>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</si>
  <si>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</si>
  <si>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</si>
  <si>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</si>
  <si>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</si>
  <si>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</si>
  <si>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</si>
  <si>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</si>
  <si>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</si>
  <si>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</si>
  <si>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</si>
  <si>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</si>
  <si>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</si>
  <si>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</si>
  <si>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</si>
  <si>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</si>
  <si>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</si>
  <si>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</si>
  <si>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</si>
  <si>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</si>
  <si>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</si>
  <si>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</si>
  <si>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</si>
  <si>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</si>
  <si>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</si>
  <si>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</si>
  <si>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</si>
  <si>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</si>
  <si>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</si>
  <si>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</si>
  <si>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</si>
  <si>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</si>
  <si>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</si>
  <si>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</si>
  <si>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</si>
  <si>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</si>
  <si>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</si>
  <si>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</si>
  <si>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</si>
  <si>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</si>
  <si>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</si>
  <si>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</si>
  <si>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</si>
  <si>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</si>
  <si>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</si>
  <si>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</si>
  <si>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</si>
  <si>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</si>
  <si>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</si>
  <si>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</si>
  <si>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</si>
  <si>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</si>
  <si>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</si>
  <si>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</si>
  <si>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</si>
  <si>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</si>
  <si>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</si>
  <si>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</si>
  <si>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</si>
  <si>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</si>
  <si>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</si>
  <si>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</si>
  <si>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</si>
  <si>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</si>
  <si>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</si>
  <si>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</si>
  <si>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</si>
  <si>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</si>
  <si>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</si>
  <si>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</si>
  <si>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</si>
  <si>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</si>
  <si>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</si>
  <si>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</si>
  <si>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</si>
  <si>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</si>
  <si>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</si>
  <si>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</si>
  <si>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</si>
  <si>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</si>
  <si>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</si>
  <si>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</si>
  <si>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</si>
  <si>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</si>
  <si>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</si>
  <si>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</si>
  <si>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</si>
  <si>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</si>
  <si>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</si>
  <si>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</si>
  <si>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</si>
  <si>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</si>
  <si>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</si>
  <si>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</si>
  <si>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</si>
  <si>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</si>
  <si>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</si>
  <si>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</si>
  <si>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</si>
  <si>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</si>
  <si>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</si>
  <si>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</si>
  <si>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</si>
  <si>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</si>
  <si>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</si>
  <si>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</si>
  <si>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</si>
  <si>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</si>
  <si>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</si>
  <si>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</si>
  <si>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</si>
  <si>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</si>
  <si>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</si>
  <si>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</si>
  <si>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</si>
  <si>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</si>
  <si>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</si>
  <si>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</si>
  <si>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</si>
  <si>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</si>
  <si>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</si>
  <si>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</si>
  <si>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</si>
  <si>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</si>
  <si>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</si>
  <si>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</si>
  <si>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</si>
  <si>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</si>
  <si>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</si>
  <si>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</si>
  <si>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</si>
  <si>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</si>
  <si>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</si>
  <si>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</si>
  <si>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</si>
  <si>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</si>
  <si>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</si>
  <si>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</si>
  <si>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</si>
  <si>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</si>
  <si>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</si>
  <si>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</si>
  <si>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</si>
  <si>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</si>
  <si>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</si>
  <si>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</si>
  <si>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</si>
  <si>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</si>
  <si>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</si>
  <si>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</si>
  <si>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</si>
  <si>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</si>
  <si>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</si>
  <si>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</si>
  <si>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</si>
  <si>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</si>
  <si>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</si>
  <si>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</si>
  <si>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</si>
  <si>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</si>
  <si>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</si>
  <si>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</si>
  <si>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</si>
  <si>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</si>
  <si>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</si>
  <si>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</si>
  <si>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</si>
  <si>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</si>
  <si>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</si>
  <si>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</si>
  <si>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</si>
  <si>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</si>
  <si>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</si>
  <si>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</si>
  <si>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</si>
  <si>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</si>
  <si>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</si>
  <si>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</si>
  <si>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</si>
  <si>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</si>
  <si>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</si>
  <si>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</si>
  <si>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</si>
  <si>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</si>
  <si>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</si>
  <si>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</si>
  <si>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</si>
  <si>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</si>
  <si>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</si>
  <si>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</si>
  <si>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</si>
  <si>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</si>
  <si>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</si>
  <si>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</si>
  <si>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</si>
  <si>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</si>
  <si>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</si>
  <si>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</si>
  <si>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</si>
  <si>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</si>
  <si>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</si>
  <si>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</si>
  <si>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</si>
  <si>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</si>
  <si>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</si>
  <si>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</si>
  <si>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</si>
  <si>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</si>
  <si>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</si>
  <si>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</si>
  <si>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</si>
  <si>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</si>
  <si>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</si>
  <si>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</si>
  <si>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</si>
  <si>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</si>
  <si>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</si>
  <si>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</si>
  <si>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</si>
  <si>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</si>
  <si>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</si>
  <si>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</si>
  <si>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</si>
  <si>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</si>
  <si>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</si>
  <si>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</si>
  <si>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</si>
  <si>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</si>
  <si>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</si>
  <si>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</si>
  <si>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</si>
  <si>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</si>
  <si>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</si>
  <si>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</si>
  <si>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</si>
  <si>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</si>
  <si>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</si>
  <si>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</si>
  <si>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</si>
  <si>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</si>
  <si>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</si>
  <si>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</si>
  <si>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</si>
  <si>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</si>
  <si>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</si>
  <si>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</si>
  <si>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</si>
  <si>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</si>
  <si>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</si>
  <si>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</si>
  <si>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</si>
  <si>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</si>
  <si>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</si>
  <si>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</si>
  <si>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</si>
  <si>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</si>
  <si>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</si>
  <si>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</si>
  <si>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</si>
  <si>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</si>
  <si>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</si>
  <si>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</si>
  <si>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</si>
  <si>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</si>
  <si>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</si>
  <si>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</si>
  <si>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</si>
  <si>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</si>
  <si>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</si>
  <si>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</si>
  <si>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</si>
  <si>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</si>
  <si>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</si>
  <si>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</si>
  <si>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</si>
  <si>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</si>
  <si>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</si>
  <si>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</si>
  <si>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</si>
  <si>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</si>
  <si>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</si>
  <si>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</si>
  <si>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</si>
  <si>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</si>
  <si>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</si>
  <si>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</si>
  <si>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</si>
  <si>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</si>
  <si>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</si>
  <si>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</si>
  <si>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</si>
  <si>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</si>
  <si>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</si>
  <si>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</si>
  <si>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</si>
  <si>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</si>
  <si>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</si>
  <si>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</si>
  <si>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</si>
  <si>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</si>
  <si>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</si>
  <si>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</si>
  <si>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</si>
  <si>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</si>
  <si>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</si>
  <si>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</si>
  <si>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</si>
  <si>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</si>
  <si>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</si>
  <si>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</si>
  <si>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</si>
  <si>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</si>
  <si>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</si>
  <si>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</si>
  <si>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</si>
  <si>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</si>
  <si>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</si>
  <si>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</si>
  <si>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</si>
  <si>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</si>
  <si>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</si>
  <si>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</si>
  <si>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</si>
  <si>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</si>
  <si>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</si>
  <si>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</si>
  <si>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</si>
  <si>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</si>
  <si>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</si>
  <si>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</si>
  <si>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</si>
  <si>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</si>
  <si>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</si>
  <si>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</si>
  <si>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</si>
  <si>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</si>
  <si>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</si>
  <si>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</si>
  <si>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</si>
  <si>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</si>
  <si>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</si>
  <si>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</si>
  <si>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</si>
  <si>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</si>
  <si>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</si>
  <si>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</si>
  <si>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</si>
  <si>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</si>
  <si>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</si>
  <si>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</si>
  <si>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</si>
  <si>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</si>
  <si>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</si>
  <si>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</si>
  <si>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</si>
  <si>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</si>
  <si>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</si>
  <si>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</si>
  <si>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</si>
  <si>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</si>
  <si>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</si>
  <si>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</si>
  <si>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</si>
  <si>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</si>
  <si>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</si>
  <si>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</si>
  <si>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</si>
  <si>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</si>
  <si>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</si>
  <si>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</si>
  <si>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</si>
  <si>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</si>
  <si>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</si>
  <si>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</si>
  <si>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</si>
  <si>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</si>
  <si>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</si>
  <si>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</si>
  <si>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</si>
  <si>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</si>
  <si>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</si>
  <si>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</si>
  <si>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</si>
  <si>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</si>
  <si>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</si>
  <si>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</si>
  <si>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</si>
  <si>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</si>
  <si>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</si>
  <si>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</si>
  <si>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</si>
  <si>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</si>
  <si>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</si>
  <si>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</si>
  <si>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</si>
  <si>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</si>
  <si>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</si>
  <si>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</si>
  <si>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</si>
  <si>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</si>
  <si>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</si>
  <si>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</si>
  <si>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</si>
  <si>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</si>
  <si>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</si>
  <si>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</si>
  <si>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</si>
  <si>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</si>
  <si>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</si>
  <si>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</si>
  <si>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</si>
  <si>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</si>
  <si>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</si>
  <si>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</si>
  <si>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</si>
  <si>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</si>
  <si>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</si>
  <si>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</si>
  <si>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</si>
  <si>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</si>
  <si>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</si>
  <si>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</si>
  <si>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</si>
  <si>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</si>
  <si>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</si>
  <si>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</si>
  <si>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</si>
  <si>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</si>
  <si>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</si>
  <si>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</si>
  <si>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</si>
  <si>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</si>
  <si>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</si>
  <si>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</si>
  <si>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</si>
  <si>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</si>
  <si>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</si>
  <si>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</si>
  <si>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</si>
  <si>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</si>
  <si>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</si>
  <si>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</si>
  <si>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</si>
  <si>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</si>
  <si>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</si>
  <si>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</si>
  <si>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</si>
  <si>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</si>
  <si>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</si>
  <si>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</si>
  <si>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</si>
  <si>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</si>
  <si>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</si>
  <si>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</si>
  <si>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</si>
  <si>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</si>
  <si>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</si>
  <si>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</si>
  <si>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</si>
  <si>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</si>
  <si>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</si>
  <si>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</si>
  <si>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</si>
  <si>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</si>
  <si>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</si>
  <si>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</si>
  <si>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</si>
  <si>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</si>
  <si>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</si>
  <si>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</si>
  <si>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</si>
  <si>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</si>
  <si>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</si>
  <si>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</si>
  <si>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</si>
  <si>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</si>
  <si>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</si>
  <si>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</si>
  <si>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</si>
  <si>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</si>
  <si>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</si>
  <si>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</si>
  <si>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</si>
  <si>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32.  RESERVED FOR SPECIAL PURPOSES</t>
  </si>
  <si>
    <t>34. UNASSIGNED FUND BALANCE</t>
  </si>
  <si>
    <t>35. Total Fund Equity    lines 23-34</t>
  </si>
  <si>
    <t>36. TOT LIAB &amp; FUND EQUITY    lines 22 &amp; 35</t>
  </si>
  <si>
    <t>1/35/1</t>
  </si>
  <si>
    <t>1/35/2</t>
  </si>
  <si>
    <t>1/35/3</t>
  </si>
  <si>
    <t>1/35/4</t>
  </si>
  <si>
    <t>1/35/5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</si>
  <si>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</si>
  <si>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</si>
  <si>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</si>
  <si>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</si>
  <si>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</si>
  <si>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</si>
  <si>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</si>
  <si>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>33.  RESERVE FOR ENCUMBRANCES</t>
  </si>
  <si>
    <t>DOE 25  2012-2013</t>
  </si>
  <si>
    <t>TOTAL FUND EQUITY, JULY 1, 2012</t>
  </si>
  <si>
    <t xml:space="preserve">Total Fund Equity June 30, 2013**** </t>
  </si>
  <si>
    <t>For the Fiscal Year Ending on June 30, 2013</t>
  </si>
  <si>
    <t>For Fiscal Year Ending June 30, 2013</t>
  </si>
  <si>
    <t>Indirect Cost Rate to be determine at later date for FY2014-2015</t>
  </si>
  <si>
    <t>2012-2013 Current Expenditure Per Pupil(in dollars)</t>
  </si>
  <si>
    <t>2012-13-Current Expenditure Per Pupil</t>
  </si>
  <si>
    <t>2012-13-Total Revenues</t>
  </si>
  <si>
    <t xml:space="preserve">  SHARED REVENUE</t>
  </si>
  <si>
    <t>11. Shared Revenues</t>
  </si>
  <si>
    <t>10/00</t>
  </si>
  <si>
    <t>10/2012</t>
  </si>
  <si>
    <t>Preschool/After School Activities Programs revenues from parents.</t>
  </si>
  <si>
    <t>it will be transferred to the trustees to be deposited into a CRF per voter approval.</t>
  </si>
  <si>
    <t>of $10,824.60 received in December and this year's surcharge receivable of $8,016.42 (est).</t>
  </si>
  <si>
    <t xml:space="preserve">tuition surcharge (state share) which we will receive in FY14. This was also set up as a payable, because </t>
  </si>
  <si>
    <t xml:space="preserve">The CTE tuition revenue will not match your figure, because it includes a receivable of $8,016.42 for the FY13 CTE </t>
  </si>
  <si>
    <t>The $2,808.18 difference between our numbers is the difference between last year's surcharge reimbursement</t>
  </si>
  <si>
    <t>White Mtns Reg.</t>
  </si>
  <si>
    <t>Vehicle repairs to special education bus.  Expenses are also reported on page 21.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</si>
</sst>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2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40" fontId="0" fillId="0" borderId="0" xfId="0" applyNumberFormat="1" applyProtection="1">
      <protection locked="0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externalLinkPath" Target="file:///C:\DOE-25\FY2011-2012\Final\TOT08.xlsx" TargetMode="External"/><Relationship Id="rId13" Type="http://schemas.openxmlformats.org/officeDocument/2006/relationships/externalLinkPath" Target="file:///C:\DOE-25\FY2011-2012\Final\TOT13.xlsx" TargetMode="External"/><Relationship Id="rId18" Type="http://schemas.openxmlformats.org/officeDocument/2006/relationships/externalLinkPath" Target="file:///C:\DOE-25\FY2011-2012\Final\TOT18.xlsx" TargetMode="External"/><Relationship Id="rId3" Type="http://schemas.openxmlformats.org/officeDocument/2006/relationships/externalLinkPath" Target="file:///C:\DOE-25\FY2011-2012\Final\TOT03.xlsx" TargetMode="External"/><Relationship Id="rId21" Type="http://schemas.openxmlformats.org/officeDocument/2006/relationships/comments" Target="../comments1.xml"/><Relationship Id="rId7" Type="http://schemas.openxmlformats.org/officeDocument/2006/relationships/externalLinkPath" Target="file:///C:\DOE-25\FY2011-2012\Final\TOT07.xlsx" TargetMode="External"/><Relationship Id="rId12" Type="http://schemas.openxmlformats.org/officeDocument/2006/relationships/externalLinkPath" Target="file:///C:\DOE-25\FY2011-2012\Final\TOT12.xlsx" TargetMode="External"/><Relationship Id="rId17" Type="http://schemas.openxmlformats.org/officeDocument/2006/relationships/externalLinkPath" Target="file:///C:\DOE-25\FY2011-2012\Final\TOT17.xlsx" TargetMode="External"/><Relationship Id="rId2" Type="http://schemas.openxmlformats.org/officeDocument/2006/relationships/externalLinkPath" Target="file:///C:\DOE-25\FY2011-2012\Final\TOT02.xlsx" TargetMode="External"/><Relationship Id="rId16" Type="http://schemas.openxmlformats.org/officeDocument/2006/relationships/externalLinkPath" Target="file:///C:\DOE-25\FY2011-2012\Final\TOT16.xlsx" TargetMode="External"/><Relationship Id="rId20" Type="http://schemas.openxmlformats.org/officeDocument/2006/relationships/vmlDrawing" Target="../drawings/vmlDrawing1.vml"/><Relationship Id="rId1" Type="http://schemas.openxmlformats.org/officeDocument/2006/relationships/externalLinkPath" Target="file:///C:\DOE-25\FY2011-2012\Final\TOT01.xlsx" TargetMode="External"/><Relationship Id="rId6" Type="http://schemas.openxmlformats.org/officeDocument/2006/relationships/externalLinkPath" Target="file:///C:\DOE-25\FY2011-2012\Final\TOT06.xlsx" TargetMode="External"/><Relationship Id="rId11" Type="http://schemas.openxmlformats.org/officeDocument/2006/relationships/externalLinkPath" Target="file:///C:\DOE-25\FY2011-2012\Final\TOT11.xlsx" TargetMode="External"/><Relationship Id="rId5" Type="http://schemas.openxmlformats.org/officeDocument/2006/relationships/externalLinkPath" Target="file:///C:\DOE-25\FY2011-2012\Final\TOT05.xlsx" TargetMode="External"/><Relationship Id="rId15" Type="http://schemas.openxmlformats.org/officeDocument/2006/relationships/externalLinkPath" Target="file:///C:\DOE-25\FY2011-2012\Final\TOT15.xlsx" TargetMode="External"/><Relationship Id="rId10" Type="http://schemas.openxmlformats.org/officeDocument/2006/relationships/externalLinkPath" Target="file:///C:\DOE-25\FY2011-2012\Final\TOT10.xlsx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externalLinkPath" Target="file:///C:\DOE-25\FY2011-2012\Final\TOT04.xlsx" TargetMode="External"/><Relationship Id="rId9" Type="http://schemas.openxmlformats.org/officeDocument/2006/relationships/externalLinkPath" Target="file:///C:\DOE-25\FY2011-2012\Final\TOT09.xlsx" TargetMode="External"/><Relationship Id="rId14" Type="http://schemas.openxmlformats.org/officeDocument/2006/relationships/externalLinkPath" Target="file:///C:\DOE-25\FY2011-2012\Final\TOT14.xls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5"/>
  <sheetViews>
    <sheetView tabSelected="1" zoomScale="75" workbookViewId="0">
      <pane xSplit="5" ySplit="3" topLeftCell="F622" activePane="bottomRight" state="frozen"/>
      <selection pane="topRight" activeCell="F1" sqref="F1"/>
      <selection pane="bottomLeft" activeCell="A4" sqref="A4"/>
      <selection pane="bottomRight" activeCell="H670" sqref="H670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898</v>
      </c>
      <c r="I1" s="13"/>
      <c r="J1" s="13"/>
      <c r="K1" s="13"/>
      <c r="L1" s="13"/>
    </row>
    <row r="2" spans="1:14" s="3" customFormat="1" ht="12" customHeight="1" x14ac:dyDescent="0.2">
      <c r="A2" s="176" t="s">
        <v>917</v>
      </c>
      <c r="B2" s="21">
        <v>568</v>
      </c>
      <c r="C2" s="21">
        <v>0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1036647.79</v>
      </c>
      <c r="G9" s="18"/>
      <c r="H9" s="18"/>
      <c r="I9" s="18"/>
      <c r="J9" s="67">
        <f>SUM(I438)</f>
        <v>0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>
        <v>158.91</v>
      </c>
      <c r="G10" s="18"/>
      <c r="H10" s="18"/>
      <c r="I10" s="18"/>
      <c r="J10" s="67">
        <f>SUM(I439)</f>
        <v>0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>
        <v>331627</v>
      </c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/>
      <c r="G12" s="18"/>
      <c r="H12" s="18"/>
      <c r="I12" s="18"/>
      <c r="J12" s="67">
        <f>SUM(I440)</f>
        <v>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244747.25</v>
      </c>
      <c r="G13" s="18">
        <v>17668.57</v>
      </c>
      <c r="H13" s="18">
        <v>242580.4</v>
      </c>
      <c r="I13" s="18"/>
      <c r="J13" s="67">
        <f>SUM(I441)</f>
        <v>1102525.3799999999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3119.47</v>
      </c>
      <c r="G14" s="18"/>
      <c r="H14" s="18"/>
      <c r="I14" s="18"/>
      <c r="J14" s="67">
        <f>SUM(I442)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>
        <v>14854.77</v>
      </c>
      <c r="G17" s="18"/>
      <c r="H17" s="18"/>
      <c r="I17" s="18"/>
      <c r="J17" s="67">
        <f>SUM(I443)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SUM(I444)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1631155.1900000002</v>
      </c>
      <c r="G19" s="41">
        <f>SUM(G9:G18)</f>
        <v>17668.57</v>
      </c>
      <c r="H19" s="41">
        <f>SUM(H9:H18)</f>
        <v>242580.4</v>
      </c>
      <c r="I19" s="41">
        <f>SUM(I9:I18)</f>
        <v>0</v>
      </c>
      <c r="J19" s="41">
        <f>SUM(J9:J18)</f>
        <v>1102525.3799999999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>
        <v>-177684.34</v>
      </c>
      <c r="G22" s="18">
        <v>-39760.21</v>
      </c>
      <c r="H22" s="18">
        <v>217444.55</v>
      </c>
      <c r="I22" s="18"/>
      <c r="J22" s="67">
        <f>SUM(I447)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/>
      <c r="I23" s="18"/>
      <c r="J23" s="67">
        <f>SUM(I448)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11380.83</v>
      </c>
      <c r="G24" s="18"/>
      <c r="H24" s="18"/>
      <c r="I24" s="18"/>
      <c r="J24" s="67">
        <f>SUM(I449)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>
        <v>1081407.8</v>
      </c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>
        <v>82.5</v>
      </c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/>
      <c r="H30" s="18">
        <v>14378.62</v>
      </c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SUM(I450)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915186.79</v>
      </c>
      <c r="G32" s="41">
        <f>SUM(G22:G31)</f>
        <v>-39760.21</v>
      </c>
      <c r="H32" s="41">
        <f>SUM(H22:H31)</f>
        <v>231823.16999999998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I456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I457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>
        <v>57428.78</v>
      </c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895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SUM(I455)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/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>
        <v>195002.11</v>
      </c>
      <c r="G45" s="18"/>
      <c r="H45" s="18"/>
      <c r="I45" s="18"/>
      <c r="J45" s="13">
        <f>I454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29" t="s">
        <v>864</v>
      </c>
      <c r="B46" s="6"/>
      <c r="C46" s="6"/>
      <c r="D46" s="2"/>
      <c r="E46" s="6"/>
      <c r="F46" s="24" t="s">
        <v>289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 t="s">
        <v>289</v>
      </c>
      <c r="L46" s="24" t="s">
        <v>289</v>
      </c>
      <c r="M46" s="8"/>
      <c r="N46" s="272"/>
    </row>
    <row r="47" spans="1:14" s="3" customFormat="1" ht="12" customHeight="1" x14ac:dyDescent="0.15">
      <c r="A47" s="1" t="s">
        <v>855</v>
      </c>
      <c r="B47" s="2" t="s">
        <v>290</v>
      </c>
      <c r="C47" s="6">
        <v>32</v>
      </c>
      <c r="D47" s="2" t="s">
        <v>657</v>
      </c>
      <c r="E47" s="6">
        <v>760</v>
      </c>
      <c r="F47" s="18"/>
      <c r="G47" s="18"/>
      <c r="H47" s="18">
        <v>10757.23</v>
      </c>
      <c r="I47" s="18"/>
      <c r="J47" s="13">
        <f>SUM(I458)</f>
        <v>1102525.3799999999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875</v>
      </c>
      <c r="B48" s="2" t="s">
        <v>290</v>
      </c>
      <c r="C48" s="6">
        <v>33</v>
      </c>
      <c r="D48" s="2"/>
      <c r="E48" s="6">
        <v>753</v>
      </c>
      <c r="F48" s="18"/>
      <c r="G48" s="18"/>
      <c r="H48" s="18"/>
      <c r="I48" s="18"/>
      <c r="J48" s="13">
        <f>I453</f>
        <v>0</v>
      </c>
      <c r="K48" s="24"/>
      <c r="L48" s="24"/>
      <c r="M48" s="8"/>
      <c r="N48" s="272"/>
    </row>
    <row r="49" spans="1:14" s="3" customFormat="1" ht="12" customHeight="1" thickBot="1" x14ac:dyDescent="0.2">
      <c r="A49" s="29" t="s">
        <v>856</v>
      </c>
      <c r="B49" s="2" t="s">
        <v>290</v>
      </c>
      <c r="C49" s="71">
        <v>34</v>
      </c>
      <c r="D49" s="2" t="s">
        <v>657</v>
      </c>
      <c r="E49" s="6">
        <v>770</v>
      </c>
      <c r="F49" s="18">
        <v>520966.29</v>
      </c>
      <c r="G49" s="24" t="s">
        <v>289</v>
      </c>
      <c r="H49" s="24" t="s">
        <v>289</v>
      </c>
      <c r="I49" s="24" t="s">
        <v>289</v>
      </c>
      <c r="J49" s="24" t="s">
        <v>289</v>
      </c>
      <c r="K49" s="24" t="s">
        <v>289</v>
      </c>
      <c r="L49" s="24" t="s">
        <v>289</v>
      </c>
      <c r="M49" s="8"/>
      <c r="N49" s="272"/>
    </row>
    <row r="50" spans="1:14" ht="12" customHeight="1" thickTop="1" thickBot="1" x14ac:dyDescent="0.25">
      <c r="A50" s="38" t="s">
        <v>408</v>
      </c>
      <c r="B50" s="39" t="s">
        <v>290</v>
      </c>
      <c r="C50" s="51">
        <v>35</v>
      </c>
      <c r="D50" s="39" t="s">
        <v>657</v>
      </c>
      <c r="E50" s="39"/>
      <c r="F50" s="41">
        <f>SUM(F35:F49)</f>
        <v>715968.39999999991</v>
      </c>
      <c r="G50" s="41">
        <f>SUM(G35:G49)</f>
        <v>57428.78</v>
      </c>
      <c r="H50" s="41">
        <f>SUM(H35:H49)</f>
        <v>10757.23</v>
      </c>
      <c r="I50" s="41">
        <f>SUM(I35:I49)</f>
        <v>0</v>
      </c>
      <c r="J50" s="41">
        <f>SUM(J35:J49)</f>
        <v>1102525.3799999999</v>
      </c>
      <c r="K50" s="45" t="s">
        <v>289</v>
      </c>
      <c r="L50" s="45" t="s">
        <v>289</v>
      </c>
      <c r="N50" s="270"/>
    </row>
    <row r="51" spans="1:14" s="3" customFormat="1" ht="12" customHeight="1" thickTop="1" x14ac:dyDescent="0.15">
      <c r="A51" s="38" t="s">
        <v>456</v>
      </c>
      <c r="B51" s="39" t="s">
        <v>290</v>
      </c>
      <c r="C51" s="6">
        <v>36</v>
      </c>
      <c r="D51" s="39" t="s">
        <v>657</v>
      </c>
      <c r="E51" s="39"/>
      <c r="F51" s="41">
        <f>F50+F32</f>
        <v>1631155.19</v>
      </c>
      <c r="G51" s="41">
        <f>G50+G32</f>
        <v>17668.57</v>
      </c>
      <c r="H51" s="41">
        <f>H50+H32</f>
        <v>242580.4</v>
      </c>
      <c r="I51" s="41">
        <f>I50+I32</f>
        <v>0</v>
      </c>
      <c r="J51" s="41">
        <f>J50+J32</f>
        <v>1102525.3799999999</v>
      </c>
      <c r="K51" s="45" t="s">
        <v>289</v>
      </c>
      <c r="L51" s="45" t="s">
        <v>289</v>
      </c>
      <c r="M51" s="8"/>
      <c r="N51" s="272"/>
    </row>
    <row r="52" spans="1:14" s="3" customFormat="1" ht="12" customHeight="1" x14ac:dyDescent="0.2">
      <c r="A52"/>
      <c r="B52"/>
      <c r="C52"/>
      <c r="D52"/>
      <c r="E52"/>
      <c r="F52" s="23" t="s">
        <v>274</v>
      </c>
      <c r="G52" s="23" t="s">
        <v>275</v>
      </c>
      <c r="H52" s="23" t="s">
        <v>276</v>
      </c>
      <c r="I52" s="23" t="s">
        <v>277</v>
      </c>
      <c r="J52" s="23" t="s">
        <v>278</v>
      </c>
      <c r="K52" s="20"/>
      <c r="L52" s="20"/>
      <c r="M52" s="8"/>
      <c r="N52" s="272"/>
    </row>
    <row r="53" spans="1:14" s="3" customFormat="1" ht="12" customHeight="1" x14ac:dyDescent="0.2">
      <c r="A53" s="1" t="s">
        <v>306</v>
      </c>
      <c r="F53" s="23"/>
      <c r="G53" s="23"/>
      <c r="H53" s="23" t="s">
        <v>283</v>
      </c>
      <c r="I53" s="23"/>
      <c r="J53" s="23"/>
      <c r="K53" s="20"/>
      <c r="L53" s="20"/>
      <c r="M53" s="8"/>
      <c r="N53" s="272"/>
    </row>
    <row r="54" spans="1:14" s="3" customFormat="1" ht="12" customHeight="1" x14ac:dyDescent="0.2">
      <c r="A54" s="28" t="s">
        <v>308</v>
      </c>
      <c r="E54" s="6"/>
      <c r="F54" s="16" t="s">
        <v>281</v>
      </c>
      <c r="G54" s="16" t="s">
        <v>282</v>
      </c>
      <c r="H54" s="16" t="s">
        <v>772</v>
      </c>
      <c r="I54" s="16" t="s">
        <v>284</v>
      </c>
      <c r="J54" s="16" t="s">
        <v>285</v>
      </c>
      <c r="K54" s="20"/>
      <c r="L54" s="20"/>
      <c r="M54" s="8"/>
      <c r="N54" s="272"/>
    </row>
    <row r="55" spans="1:14" s="3" customFormat="1" ht="12" customHeight="1" x14ac:dyDescent="0.15">
      <c r="A55" s="27" t="s">
        <v>309</v>
      </c>
      <c r="E55" s="6"/>
      <c r="F55" s="24" t="s">
        <v>289</v>
      </c>
      <c r="G55" s="24" t="s">
        <v>289</v>
      </c>
      <c r="H55" s="24" t="s">
        <v>289</v>
      </c>
      <c r="I55" s="24" t="s">
        <v>289</v>
      </c>
      <c r="J55" s="24" t="s">
        <v>289</v>
      </c>
      <c r="K55" s="24" t="s">
        <v>289</v>
      </c>
      <c r="L55" s="24" t="s">
        <v>289</v>
      </c>
      <c r="M55" s="8"/>
      <c r="N55" s="272"/>
    </row>
    <row r="56" spans="1:14" s="3" customFormat="1" ht="12" customHeight="1" x14ac:dyDescent="0.15">
      <c r="A56" s="1" t="s">
        <v>514</v>
      </c>
      <c r="B56" s="2" t="s">
        <v>310</v>
      </c>
      <c r="C56" s="6">
        <v>1</v>
      </c>
      <c r="D56" s="2" t="s">
        <v>431</v>
      </c>
      <c r="E56" s="6">
        <v>1111</v>
      </c>
      <c r="F56" s="18">
        <v>7501270</v>
      </c>
      <c r="G56" s="18"/>
      <c r="H56" s="18"/>
      <c r="I56" s="18"/>
      <c r="J56" s="18"/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515</v>
      </c>
      <c r="B57" s="2" t="s">
        <v>310</v>
      </c>
      <c r="C57" s="6">
        <v>2</v>
      </c>
      <c r="D57" s="2" t="s">
        <v>431</v>
      </c>
      <c r="E57" s="6">
        <v>1112</v>
      </c>
      <c r="F57" s="18"/>
      <c r="G57" s="18"/>
      <c r="H57" s="24" t="s">
        <v>289</v>
      </c>
      <c r="I57" s="18"/>
      <c r="J57" s="24" t="s">
        <v>289</v>
      </c>
      <c r="K57" s="24" t="s">
        <v>289</v>
      </c>
      <c r="L57" s="24" t="s">
        <v>289</v>
      </c>
      <c r="M57" s="8"/>
      <c r="N57" s="272"/>
    </row>
    <row r="58" spans="1:14" s="27" customFormat="1" ht="12" customHeight="1" thickBot="1" x14ac:dyDescent="0.2">
      <c r="A58" s="1" t="s">
        <v>513</v>
      </c>
      <c r="B58" s="2" t="s">
        <v>310</v>
      </c>
      <c r="C58" s="6">
        <v>3</v>
      </c>
      <c r="D58" s="2" t="s">
        <v>431</v>
      </c>
      <c r="E58" s="6">
        <v>1119</v>
      </c>
      <c r="F58" s="18"/>
      <c r="G58" s="18"/>
      <c r="H58" s="18"/>
      <c r="I58" s="18"/>
      <c r="J58" s="18"/>
      <c r="K58" s="24" t="s">
        <v>289</v>
      </c>
      <c r="L58" s="24" t="s">
        <v>289</v>
      </c>
      <c r="M58" s="31"/>
      <c r="N58" s="273"/>
    </row>
    <row r="59" spans="1:14" s="27" customFormat="1" ht="12" customHeight="1" thickTop="1" x14ac:dyDescent="0.15">
      <c r="A59" s="38" t="s">
        <v>409</v>
      </c>
      <c r="B59" s="39" t="s">
        <v>310</v>
      </c>
      <c r="C59" s="40">
        <v>4</v>
      </c>
      <c r="D59" s="39" t="s">
        <v>431</v>
      </c>
      <c r="E59" s="40">
        <v>1100</v>
      </c>
      <c r="F59" s="41">
        <f>SUM(F56:F58)</f>
        <v>7501270</v>
      </c>
      <c r="G59" s="41">
        <f>SUM(G56:G58)</f>
        <v>0</v>
      </c>
      <c r="H59" s="41">
        <f>SUM(H56:H58)</f>
        <v>0</v>
      </c>
      <c r="I59" s="41">
        <f>SUM(I56:I58)</f>
        <v>0</v>
      </c>
      <c r="J59" s="41">
        <f>SUM(J56:J58)</f>
        <v>0</v>
      </c>
      <c r="K59" s="45" t="s">
        <v>289</v>
      </c>
      <c r="L59" s="45" t="s">
        <v>289</v>
      </c>
      <c r="M59" s="31"/>
      <c r="N59" s="273"/>
    </row>
    <row r="60" spans="1:14" s="3" customFormat="1" ht="12" customHeight="1" x14ac:dyDescent="0.15">
      <c r="A60" s="30" t="s">
        <v>520</v>
      </c>
      <c r="B60" s="27"/>
      <c r="C60" s="30" t="s">
        <v>302</v>
      </c>
      <c r="D60" s="30"/>
      <c r="E60" s="6"/>
      <c r="F60" s="24" t="s">
        <v>289</v>
      </c>
      <c r="G60" s="24" t="s">
        <v>289</v>
      </c>
      <c r="H60" s="24" t="s">
        <v>289</v>
      </c>
      <c r="I60" s="24" t="s">
        <v>289</v>
      </c>
      <c r="J60" s="24" t="s">
        <v>289</v>
      </c>
      <c r="K60" s="24" t="s">
        <v>289</v>
      </c>
      <c r="L60" s="24" t="s">
        <v>289</v>
      </c>
      <c r="M60" s="8"/>
      <c r="N60" s="272"/>
    </row>
    <row r="61" spans="1:14" s="3" customFormat="1" ht="12" customHeight="1" x14ac:dyDescent="0.15">
      <c r="A61" s="30" t="s">
        <v>312</v>
      </c>
      <c r="B61" s="27"/>
      <c r="C61" s="30"/>
      <c r="D61" s="30"/>
      <c r="E61" s="6">
        <v>1310</v>
      </c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1" t="s">
        <v>516</v>
      </c>
      <c r="B62" s="2" t="s">
        <v>310</v>
      </c>
      <c r="C62" s="6">
        <v>5</v>
      </c>
      <c r="D62" s="2" t="s">
        <v>431</v>
      </c>
      <c r="E62" s="6">
        <v>1311</v>
      </c>
      <c r="F62" s="18"/>
      <c r="G62" s="24" t="s">
        <v>289</v>
      </c>
      <c r="H62" s="18"/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517</v>
      </c>
      <c r="B63" s="2" t="s">
        <v>310</v>
      </c>
      <c r="C63" s="6">
        <v>6</v>
      </c>
      <c r="D63" s="2" t="s">
        <v>431</v>
      </c>
      <c r="E63" s="6">
        <v>1314</v>
      </c>
      <c r="F63" s="18">
        <v>800</v>
      </c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27" customFormat="1" ht="12" customHeight="1" x14ac:dyDescent="0.15">
      <c r="A64" s="1" t="s">
        <v>502</v>
      </c>
      <c r="B64" s="2" t="s">
        <v>310</v>
      </c>
      <c r="C64" s="6">
        <v>7</v>
      </c>
      <c r="D64" s="2" t="s">
        <v>431</v>
      </c>
      <c r="E64" s="6">
        <v>1315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31"/>
      <c r="N64" s="273"/>
    </row>
    <row r="65" spans="1:14" s="3" customFormat="1" ht="12" customHeight="1" x14ac:dyDescent="0.15">
      <c r="A65" s="1" t="s">
        <v>328</v>
      </c>
      <c r="B65" s="2" t="s">
        <v>310</v>
      </c>
      <c r="C65" s="6">
        <v>8</v>
      </c>
      <c r="D65" s="2" t="s">
        <v>431</v>
      </c>
      <c r="E65" s="6">
        <v>1316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8"/>
      <c r="N65" s="272"/>
    </row>
    <row r="66" spans="1:14" s="3" customFormat="1" ht="12" customHeight="1" x14ac:dyDescent="0.15">
      <c r="A66" s="30" t="s">
        <v>411</v>
      </c>
      <c r="B66" s="2"/>
      <c r="C66" s="6"/>
      <c r="D66" s="6"/>
      <c r="E66" s="6">
        <v>1320</v>
      </c>
      <c r="F66" s="24" t="s">
        <v>289</v>
      </c>
      <c r="G66" s="24" t="s">
        <v>289</v>
      </c>
      <c r="H66" s="24" t="s">
        <v>289</v>
      </c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1" t="s">
        <v>516</v>
      </c>
      <c r="B67" s="2" t="s">
        <v>310</v>
      </c>
      <c r="C67" s="6">
        <v>9</v>
      </c>
      <c r="D67" s="2" t="s">
        <v>431</v>
      </c>
      <c r="E67" s="6">
        <v>1321</v>
      </c>
      <c r="F67" s="18">
        <v>425319.93</v>
      </c>
      <c r="G67" s="24" t="s">
        <v>289</v>
      </c>
      <c r="H67" s="18"/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518</v>
      </c>
      <c r="B68" s="2" t="s">
        <v>310</v>
      </c>
      <c r="C68" s="6">
        <v>10</v>
      </c>
      <c r="D68" s="2" t="s">
        <v>431</v>
      </c>
      <c r="E68" s="6">
        <v>1322</v>
      </c>
      <c r="F68" s="18">
        <v>48865.55</v>
      </c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519</v>
      </c>
      <c r="B69" s="2" t="s">
        <v>310</v>
      </c>
      <c r="C69" s="6">
        <v>11</v>
      </c>
      <c r="D69" s="2" t="s">
        <v>431</v>
      </c>
      <c r="E69" s="6">
        <v>1323</v>
      </c>
      <c r="F69" s="18">
        <v>38299.440000000002</v>
      </c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30" t="s">
        <v>412</v>
      </c>
      <c r="B70" s="1" t="s">
        <v>302</v>
      </c>
      <c r="E70" s="6">
        <v>1330</v>
      </c>
      <c r="F70" s="24" t="s">
        <v>289</v>
      </c>
      <c r="G70" s="24" t="s">
        <v>289</v>
      </c>
      <c r="H70" s="24" t="s">
        <v>289</v>
      </c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1" t="s">
        <v>516</v>
      </c>
      <c r="B71" s="2" t="s">
        <v>310</v>
      </c>
      <c r="C71" s="6">
        <v>12</v>
      </c>
      <c r="D71" s="2" t="s">
        <v>431</v>
      </c>
      <c r="E71" s="6">
        <v>1331</v>
      </c>
      <c r="F71" s="18"/>
      <c r="G71" s="24" t="s">
        <v>289</v>
      </c>
      <c r="H71" s="18"/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518</v>
      </c>
      <c r="B72" s="2" t="s">
        <v>310</v>
      </c>
      <c r="C72" s="6">
        <v>13</v>
      </c>
      <c r="D72" s="2" t="s">
        <v>431</v>
      </c>
      <c r="E72" s="6">
        <v>1332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519</v>
      </c>
      <c r="B73" s="2" t="s">
        <v>310</v>
      </c>
      <c r="C73" s="6">
        <v>14</v>
      </c>
      <c r="D73" s="2" t="s">
        <v>431</v>
      </c>
      <c r="E73" s="6">
        <v>1333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30" t="s">
        <v>314</v>
      </c>
      <c r="E74" s="6">
        <v>1340</v>
      </c>
      <c r="F74" s="24" t="s">
        <v>289</v>
      </c>
      <c r="G74" s="24" t="s">
        <v>289</v>
      </c>
      <c r="H74" s="24" t="s">
        <v>289</v>
      </c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1" t="s">
        <v>516</v>
      </c>
      <c r="B75" s="2" t="s">
        <v>310</v>
      </c>
      <c r="C75" s="6">
        <v>15</v>
      </c>
      <c r="D75" s="2" t="s">
        <v>431</v>
      </c>
      <c r="E75" s="6">
        <v>1341</v>
      </c>
      <c r="F75" s="18"/>
      <c r="G75" s="24" t="s">
        <v>289</v>
      </c>
      <c r="H75" s="18"/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518</v>
      </c>
      <c r="B76" s="2" t="s">
        <v>310</v>
      </c>
      <c r="C76" s="6">
        <v>16</v>
      </c>
      <c r="D76" s="2" t="s">
        <v>431</v>
      </c>
      <c r="E76" s="6">
        <v>1342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ht="12" customHeight="1" thickBot="1" x14ac:dyDescent="0.25">
      <c r="A77" s="1" t="s">
        <v>513</v>
      </c>
      <c r="B77" s="2" t="s">
        <v>310</v>
      </c>
      <c r="C77" s="6">
        <v>17</v>
      </c>
      <c r="D77" s="2" t="s">
        <v>431</v>
      </c>
      <c r="E77" s="6">
        <v>1349</v>
      </c>
      <c r="F77" s="18">
        <v>35254</v>
      </c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N77" s="270"/>
    </row>
    <row r="78" spans="1:14" s="3" customFormat="1" ht="12" customHeight="1" thickTop="1" x14ac:dyDescent="0.15">
      <c r="A78" s="38" t="s">
        <v>410</v>
      </c>
      <c r="B78" s="39" t="s">
        <v>310</v>
      </c>
      <c r="C78" s="39" t="s">
        <v>315</v>
      </c>
      <c r="D78" s="39" t="s">
        <v>431</v>
      </c>
      <c r="E78" s="40">
        <v>1300</v>
      </c>
      <c r="F78" s="41">
        <f>SUM(F62:F77)</f>
        <v>548538.91999999993</v>
      </c>
      <c r="G78" s="45" t="s">
        <v>289</v>
      </c>
      <c r="H78" s="41">
        <f>SUM(H62:H77)</f>
        <v>0</v>
      </c>
      <c r="I78" s="45" t="s">
        <v>289</v>
      </c>
      <c r="J78" s="45" t="s">
        <v>289</v>
      </c>
      <c r="K78" s="45" t="s">
        <v>289</v>
      </c>
      <c r="L78" s="45" t="s">
        <v>289</v>
      </c>
      <c r="M78" s="8">
        <v>278</v>
      </c>
      <c r="N78" s="272"/>
    </row>
    <row r="79" spans="1:14" s="3" customFormat="1" ht="12" customHeight="1" x14ac:dyDescent="0.2">
      <c r="A79"/>
      <c r="B79"/>
      <c r="C79" s="32"/>
      <c r="D79" s="32"/>
      <c r="E79" s="32"/>
      <c r="F79" s="23" t="s">
        <v>274</v>
      </c>
      <c r="G79" s="23" t="s">
        <v>275</v>
      </c>
      <c r="H79" s="23" t="s">
        <v>276</v>
      </c>
      <c r="I79" s="23" t="s">
        <v>277</v>
      </c>
      <c r="J79" s="23" t="s">
        <v>278</v>
      </c>
      <c r="K79" s="20"/>
      <c r="L79" s="20"/>
      <c r="M79" s="8"/>
      <c r="N79" s="272"/>
    </row>
    <row r="80" spans="1:14" s="3" customFormat="1" ht="12" customHeight="1" x14ac:dyDescent="0.2">
      <c r="A80" s="170" t="s">
        <v>521</v>
      </c>
      <c r="C80" s="23"/>
      <c r="D80" s="23"/>
      <c r="E80" s="23"/>
      <c r="F80" s="23"/>
      <c r="G80" s="23"/>
      <c r="H80" s="23" t="s">
        <v>283</v>
      </c>
      <c r="I80" s="23"/>
      <c r="J80" s="23"/>
      <c r="K80" s="20"/>
      <c r="L80" s="20"/>
      <c r="M80" s="8"/>
      <c r="N80" s="272"/>
    </row>
    <row r="81" spans="1:14" s="3" customFormat="1" ht="12" customHeight="1" x14ac:dyDescent="0.2">
      <c r="A81" s="30" t="s">
        <v>413</v>
      </c>
      <c r="C81" s="23"/>
      <c r="D81" s="23"/>
      <c r="E81" s="6">
        <v>1410</v>
      </c>
      <c r="F81" s="16" t="s">
        <v>281</v>
      </c>
      <c r="G81" s="16" t="s">
        <v>282</v>
      </c>
      <c r="H81" s="16" t="s">
        <v>772</v>
      </c>
      <c r="I81" s="16" t="s">
        <v>284</v>
      </c>
      <c r="J81" s="16" t="s">
        <v>285</v>
      </c>
      <c r="K81" s="20"/>
      <c r="L81" s="20"/>
      <c r="M81" s="8"/>
      <c r="N81" s="272"/>
    </row>
    <row r="82" spans="1:14" s="3" customFormat="1" ht="12" customHeight="1" x14ac:dyDescent="0.15">
      <c r="A82" s="1" t="s">
        <v>516</v>
      </c>
      <c r="B82" s="2" t="s">
        <v>316</v>
      </c>
      <c r="C82" s="6">
        <v>1</v>
      </c>
      <c r="D82" s="2" t="s">
        <v>431</v>
      </c>
      <c r="E82" s="6">
        <v>1411</v>
      </c>
      <c r="F82" s="18"/>
      <c r="G82" s="24" t="s">
        <v>289</v>
      </c>
      <c r="H82" s="18"/>
      <c r="I82" s="24" t="s">
        <v>289</v>
      </c>
      <c r="J82" s="24" t="s">
        <v>289</v>
      </c>
      <c r="K82" s="24" t="s">
        <v>289</v>
      </c>
      <c r="L82" s="24" t="s">
        <v>289</v>
      </c>
      <c r="M82" s="8"/>
      <c r="N82" s="272"/>
    </row>
    <row r="83" spans="1:14" s="3" customFormat="1" ht="12" customHeight="1" x14ac:dyDescent="0.15">
      <c r="A83" s="1" t="s">
        <v>517</v>
      </c>
      <c r="B83" s="2" t="s">
        <v>316</v>
      </c>
      <c r="C83" s="6">
        <v>2</v>
      </c>
      <c r="D83" s="2" t="s">
        <v>431</v>
      </c>
      <c r="E83" s="6">
        <v>1414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30" t="s">
        <v>313</v>
      </c>
      <c r="C84" s="23"/>
      <c r="D84" s="23"/>
      <c r="E84" s="6">
        <v>1420</v>
      </c>
      <c r="F84" s="24" t="s">
        <v>289</v>
      </c>
      <c r="G84" s="24" t="s">
        <v>289</v>
      </c>
      <c r="H84" s="24" t="s">
        <v>289</v>
      </c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1" t="s">
        <v>516</v>
      </c>
      <c r="B85" s="1" t="s">
        <v>316</v>
      </c>
      <c r="C85" s="6">
        <v>3</v>
      </c>
      <c r="D85" s="2" t="s">
        <v>431</v>
      </c>
      <c r="E85" s="6">
        <v>1421</v>
      </c>
      <c r="F85" s="18"/>
      <c r="G85" s="24" t="s">
        <v>289</v>
      </c>
      <c r="H85" s="18"/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518</v>
      </c>
      <c r="B86" s="2" t="s">
        <v>316</v>
      </c>
      <c r="C86" s="6">
        <v>4</v>
      </c>
      <c r="D86" s="2" t="s">
        <v>431</v>
      </c>
      <c r="E86" s="6">
        <v>1422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519</v>
      </c>
      <c r="B87" s="2" t="s">
        <v>316</v>
      </c>
      <c r="C87" s="6">
        <v>5</v>
      </c>
      <c r="D87" s="2" t="s">
        <v>431</v>
      </c>
      <c r="E87" s="6">
        <v>1423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30" t="s">
        <v>317</v>
      </c>
      <c r="C88" s="23"/>
      <c r="D88" s="23"/>
      <c r="E88" s="6">
        <v>1430</v>
      </c>
      <c r="F88" s="24" t="s">
        <v>289</v>
      </c>
      <c r="G88" s="24" t="s">
        <v>289</v>
      </c>
      <c r="H88" s="24" t="s">
        <v>289</v>
      </c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1" t="s">
        <v>516</v>
      </c>
      <c r="B89" s="2" t="s">
        <v>316</v>
      </c>
      <c r="C89" s="6">
        <v>6</v>
      </c>
      <c r="D89" s="2" t="s">
        <v>431</v>
      </c>
      <c r="E89" s="6">
        <v>1431</v>
      </c>
      <c r="F89" s="18"/>
      <c r="G89" s="24" t="s">
        <v>289</v>
      </c>
      <c r="H89" s="18"/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518</v>
      </c>
      <c r="B90" s="2" t="s">
        <v>316</v>
      </c>
      <c r="C90" s="6">
        <v>7</v>
      </c>
      <c r="D90" s="2" t="s">
        <v>431</v>
      </c>
      <c r="E90" s="6">
        <v>1432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519</v>
      </c>
      <c r="B91" s="2" t="s">
        <v>316</v>
      </c>
      <c r="C91" s="6">
        <v>8</v>
      </c>
      <c r="D91" s="2" t="s">
        <v>431</v>
      </c>
      <c r="E91" s="6">
        <v>1433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thickBot="1" x14ac:dyDescent="0.2">
      <c r="A92" s="1" t="s">
        <v>522</v>
      </c>
      <c r="B92" s="2" t="s">
        <v>316</v>
      </c>
      <c r="C92" s="6">
        <v>9</v>
      </c>
      <c r="D92" s="2" t="s">
        <v>431</v>
      </c>
      <c r="E92" s="6">
        <v>1440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Top="1" x14ac:dyDescent="0.15">
      <c r="A93" s="38" t="s">
        <v>414</v>
      </c>
      <c r="B93" s="39" t="s">
        <v>316</v>
      </c>
      <c r="C93" s="40">
        <v>10</v>
      </c>
      <c r="D93" s="39" t="s">
        <v>431</v>
      </c>
      <c r="E93" s="40">
        <v>1400</v>
      </c>
      <c r="F93" s="41">
        <f>SUM(F82:F92)</f>
        <v>0</v>
      </c>
      <c r="G93" s="45" t="s">
        <v>289</v>
      </c>
      <c r="H93" s="41">
        <f>SUM(H82:H92)</f>
        <v>0</v>
      </c>
      <c r="I93" s="45" t="s">
        <v>289</v>
      </c>
      <c r="J93" s="45" t="s">
        <v>289</v>
      </c>
      <c r="K93" s="45" t="s">
        <v>289</v>
      </c>
      <c r="L93" s="45" t="s">
        <v>289</v>
      </c>
      <c r="M93" s="8"/>
      <c r="N93" s="272"/>
    </row>
    <row r="94" spans="1:14" s="3" customFormat="1" ht="12" customHeight="1" x14ac:dyDescent="0.15">
      <c r="A94" s="30" t="s">
        <v>318</v>
      </c>
      <c r="B94" s="2" t="s">
        <v>287</v>
      </c>
      <c r="C94" s="6" t="s">
        <v>287</v>
      </c>
      <c r="D94" s="6"/>
      <c r="E94" s="6"/>
      <c r="F94" s="24" t="s">
        <v>289</v>
      </c>
      <c r="G94" s="24" t="s">
        <v>289</v>
      </c>
      <c r="H94" s="24" t="s">
        <v>289</v>
      </c>
      <c r="I94" s="24" t="s">
        <v>289</v>
      </c>
      <c r="J94" s="24" t="s">
        <v>289</v>
      </c>
      <c r="K94" s="24" t="s">
        <v>289</v>
      </c>
      <c r="L94" s="24" t="s">
        <v>289</v>
      </c>
      <c r="M94" s="8"/>
      <c r="N94" s="272"/>
    </row>
    <row r="95" spans="1:14" s="3" customFormat="1" ht="12" customHeight="1" x14ac:dyDescent="0.15">
      <c r="A95" s="1" t="s">
        <v>595</v>
      </c>
      <c r="B95" s="2" t="s">
        <v>316</v>
      </c>
      <c r="C95" s="6">
        <v>11</v>
      </c>
      <c r="D95" s="2" t="s">
        <v>431</v>
      </c>
      <c r="E95" s="6">
        <v>1500</v>
      </c>
      <c r="F95" s="18">
        <v>5622.22</v>
      </c>
      <c r="G95" s="18"/>
      <c r="H95" s="18"/>
      <c r="I95" s="18"/>
      <c r="J95" s="18">
        <v>10039.56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506</v>
      </c>
      <c r="B96" s="2" t="s">
        <v>316</v>
      </c>
      <c r="C96" s="6">
        <v>12</v>
      </c>
      <c r="D96" s="2" t="s">
        <v>431</v>
      </c>
      <c r="E96" s="6">
        <v>1600</v>
      </c>
      <c r="F96" s="24" t="s">
        <v>289</v>
      </c>
      <c r="G96" s="18">
        <v>188203.82</v>
      </c>
      <c r="H96" s="24" t="s">
        <v>289</v>
      </c>
      <c r="I96" s="24" t="s">
        <v>289</v>
      </c>
      <c r="J96" s="24" t="s">
        <v>289</v>
      </c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507</v>
      </c>
      <c r="B97" s="2" t="s">
        <v>316</v>
      </c>
      <c r="C97" s="6">
        <v>13</v>
      </c>
      <c r="D97" s="2" t="s">
        <v>431</v>
      </c>
      <c r="E97" s="6">
        <v>1700</v>
      </c>
      <c r="F97" s="18">
        <v>7174.5</v>
      </c>
      <c r="G97" s="24" t="s">
        <v>289</v>
      </c>
      <c r="H97" s="18">
        <v>5704.4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590</v>
      </c>
      <c r="B98" s="2" t="s">
        <v>316</v>
      </c>
      <c r="C98" s="6">
        <v>14</v>
      </c>
      <c r="D98" s="2" t="s">
        <v>431</v>
      </c>
      <c r="E98" s="6">
        <v>1800</v>
      </c>
      <c r="F98" s="18"/>
      <c r="G98" s="18"/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30" t="s">
        <v>319</v>
      </c>
      <c r="B99" s="2"/>
      <c r="C99" s="6"/>
      <c r="D99" s="6"/>
      <c r="E99" s="6"/>
      <c r="F99" s="24" t="s">
        <v>289</v>
      </c>
      <c r="G99" s="24" t="s">
        <v>289</v>
      </c>
      <c r="H99" s="24" t="s">
        <v>289</v>
      </c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1" t="s">
        <v>508</v>
      </c>
      <c r="B100" s="2" t="s">
        <v>316</v>
      </c>
      <c r="C100" s="6">
        <v>15</v>
      </c>
      <c r="D100" s="2" t="s">
        <v>431</v>
      </c>
      <c r="E100" s="6">
        <v>1910</v>
      </c>
      <c r="F100" s="18"/>
      <c r="G100" s="18"/>
      <c r="H100" s="18"/>
      <c r="I100" s="18"/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509</v>
      </c>
      <c r="B101" s="2" t="s">
        <v>316</v>
      </c>
      <c r="C101" s="6">
        <v>16</v>
      </c>
      <c r="D101" s="2" t="s">
        <v>431</v>
      </c>
      <c r="E101" s="6">
        <v>1920</v>
      </c>
      <c r="F101" s="18"/>
      <c r="G101" s="18"/>
      <c r="H101" s="18"/>
      <c r="I101" s="18"/>
      <c r="J101" s="18"/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510</v>
      </c>
      <c r="B102" s="2" t="s">
        <v>316</v>
      </c>
      <c r="C102" s="6">
        <v>17</v>
      </c>
      <c r="D102" s="2" t="s">
        <v>431</v>
      </c>
      <c r="E102" s="6">
        <v>1930</v>
      </c>
      <c r="F102" s="18"/>
      <c r="G102" s="18"/>
      <c r="H102" s="18"/>
      <c r="I102" s="24" t="s">
        <v>289</v>
      </c>
      <c r="J102" s="24" t="s">
        <v>289</v>
      </c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591</v>
      </c>
      <c r="B103" s="2" t="s">
        <v>316</v>
      </c>
      <c r="C103" s="6">
        <v>18</v>
      </c>
      <c r="D103" s="2" t="s">
        <v>431</v>
      </c>
      <c r="E103" s="6">
        <v>1940</v>
      </c>
      <c r="F103" s="18"/>
      <c r="G103" s="24" t="s">
        <v>289</v>
      </c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592</v>
      </c>
      <c r="B104" s="2" t="s">
        <v>316</v>
      </c>
      <c r="C104" s="6">
        <v>19</v>
      </c>
      <c r="D104" s="2" t="s">
        <v>431</v>
      </c>
      <c r="E104" s="6">
        <v>1951</v>
      </c>
      <c r="F104" s="18"/>
      <c r="G104" s="18"/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593</v>
      </c>
      <c r="B105" s="2" t="s">
        <v>316</v>
      </c>
      <c r="C105" s="6">
        <v>20</v>
      </c>
      <c r="D105" s="2" t="s">
        <v>431</v>
      </c>
      <c r="E105" s="6">
        <v>1952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511</v>
      </c>
      <c r="B106" s="2" t="s">
        <v>316</v>
      </c>
      <c r="C106" s="6">
        <v>21</v>
      </c>
      <c r="D106" s="2" t="s">
        <v>431</v>
      </c>
      <c r="E106" s="6">
        <v>1953</v>
      </c>
      <c r="F106" s="18"/>
      <c r="G106" s="18"/>
      <c r="H106" s="18"/>
      <c r="I106" s="18"/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594</v>
      </c>
      <c r="B107" s="2" t="s">
        <v>316</v>
      </c>
      <c r="C107" s="6">
        <v>22</v>
      </c>
      <c r="D107" s="2" t="s">
        <v>431</v>
      </c>
      <c r="E107" s="6">
        <v>1960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512</v>
      </c>
      <c r="B108" s="2" t="s">
        <v>316</v>
      </c>
      <c r="C108" s="6">
        <v>23</v>
      </c>
      <c r="D108" s="2" t="s">
        <v>431</v>
      </c>
      <c r="E108" s="6">
        <v>1980</v>
      </c>
      <c r="F108" s="18">
        <v>3523.11</v>
      </c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thickBot="1" x14ac:dyDescent="0.2">
      <c r="A109" s="1" t="s">
        <v>513</v>
      </c>
      <c r="B109" s="2" t="s">
        <v>316</v>
      </c>
      <c r="C109" s="6">
        <v>24</v>
      </c>
      <c r="D109" s="2" t="s">
        <v>431</v>
      </c>
      <c r="E109" s="6">
        <v>1990</v>
      </c>
      <c r="F109" s="18">
        <v>304175.84999999998</v>
      </c>
      <c r="G109" s="18"/>
      <c r="H109" s="18">
        <v>12806.15</v>
      </c>
      <c r="I109" s="18"/>
      <c r="J109" s="18">
        <v>1526.98</v>
      </c>
      <c r="K109" s="24" t="s">
        <v>289</v>
      </c>
      <c r="L109" s="24" t="s">
        <v>289</v>
      </c>
      <c r="M109" s="8"/>
      <c r="N109" s="272"/>
    </row>
    <row r="110" spans="1:14" ht="12" customHeight="1" thickTop="1" thickBot="1" x14ac:dyDescent="0.25">
      <c r="A110" s="38" t="s">
        <v>434</v>
      </c>
      <c r="B110" s="39" t="s">
        <v>316</v>
      </c>
      <c r="C110" s="40">
        <v>25</v>
      </c>
      <c r="D110" s="39" t="s">
        <v>431</v>
      </c>
      <c r="E110" s="40"/>
      <c r="F110" s="41">
        <f>SUM(F95:F109)</f>
        <v>320495.68</v>
      </c>
      <c r="G110" s="41">
        <f>SUM(G95:G109)</f>
        <v>188203.82</v>
      </c>
      <c r="H110" s="41">
        <f>SUM(H95:H109)</f>
        <v>18510.55</v>
      </c>
      <c r="I110" s="41">
        <f>SUM(I95:I109)</f>
        <v>0</v>
      </c>
      <c r="J110" s="41">
        <f>SUM(J95:J109)</f>
        <v>11566.539999999999</v>
      </c>
      <c r="K110" s="45" t="s">
        <v>289</v>
      </c>
      <c r="L110" s="45" t="s">
        <v>289</v>
      </c>
      <c r="N110" s="270"/>
    </row>
    <row r="111" spans="1:14" s="3" customFormat="1" ht="12" customHeight="1" thickTop="1" x14ac:dyDescent="0.15">
      <c r="A111" s="38" t="s">
        <v>415</v>
      </c>
      <c r="B111" s="39" t="s">
        <v>316</v>
      </c>
      <c r="C111" s="40">
        <v>26</v>
      </c>
      <c r="D111" s="39" t="s">
        <v>431</v>
      </c>
      <c r="E111" s="40">
        <v>1000</v>
      </c>
      <c r="F111" s="41">
        <f>F59+F78+F93+F110</f>
        <v>8370304.5999999996</v>
      </c>
      <c r="G111" s="41">
        <f>G59+G110</f>
        <v>188203.82</v>
      </c>
      <c r="H111" s="41">
        <f>H59+H78+H93+H110</f>
        <v>18510.55</v>
      </c>
      <c r="I111" s="41">
        <f>I59+I110</f>
        <v>0</v>
      </c>
      <c r="J111" s="41">
        <f>J59+J110</f>
        <v>11566.539999999999</v>
      </c>
      <c r="K111" s="45" t="s">
        <v>289</v>
      </c>
      <c r="L111" s="45" t="s">
        <v>289</v>
      </c>
      <c r="M111" s="8"/>
      <c r="N111" s="272"/>
    </row>
    <row r="112" spans="1:14" s="3" customFormat="1" ht="12" customHeight="1" x14ac:dyDescent="0.2">
      <c r="A112"/>
      <c r="B112"/>
      <c r="C112"/>
      <c r="D112"/>
      <c r="E112"/>
      <c r="F112" s="23" t="s">
        <v>274</v>
      </c>
      <c r="G112" s="23" t="s">
        <v>275</v>
      </c>
      <c r="H112" s="23" t="s">
        <v>276</v>
      </c>
      <c r="I112" s="23" t="s">
        <v>277</v>
      </c>
      <c r="J112" s="23" t="s">
        <v>278</v>
      </c>
      <c r="K112" s="20"/>
      <c r="L112" s="20"/>
      <c r="M112" s="8"/>
      <c r="N112" s="272"/>
    </row>
    <row r="113" spans="1:14" s="3" customFormat="1" ht="12" customHeight="1" x14ac:dyDescent="0.2">
      <c r="A113" s="29" t="s">
        <v>320</v>
      </c>
      <c r="H113" s="23" t="s">
        <v>283</v>
      </c>
      <c r="K113" s="20"/>
      <c r="L113" s="20"/>
      <c r="M113" s="8"/>
      <c r="N113" s="272"/>
    </row>
    <row r="114" spans="1:14" s="3" customFormat="1" ht="12" customHeight="1" x14ac:dyDescent="0.2">
      <c r="A114" s="28" t="s">
        <v>321</v>
      </c>
      <c r="F114" s="16" t="s">
        <v>281</v>
      </c>
      <c r="G114" s="14" t="s">
        <v>282</v>
      </c>
      <c r="H114" s="16" t="s">
        <v>772</v>
      </c>
      <c r="I114" s="16" t="s">
        <v>284</v>
      </c>
      <c r="J114" s="16" t="s">
        <v>285</v>
      </c>
      <c r="K114" s="20"/>
      <c r="L114" s="20"/>
      <c r="M114" s="8"/>
      <c r="N114" s="272"/>
    </row>
    <row r="115" spans="1:14" s="3" customFormat="1" ht="12" customHeight="1" x14ac:dyDescent="0.15">
      <c r="A115" s="30" t="s">
        <v>324</v>
      </c>
      <c r="B115" s="7"/>
      <c r="C115" s="7"/>
      <c r="D115" s="7"/>
      <c r="E115" s="7"/>
      <c r="F115" s="24" t="s">
        <v>289</v>
      </c>
      <c r="G115" s="24" t="s">
        <v>289</v>
      </c>
      <c r="H115" s="24" t="s">
        <v>289</v>
      </c>
      <c r="I115" s="24" t="s">
        <v>289</v>
      </c>
      <c r="J115" s="24" t="s">
        <v>289</v>
      </c>
      <c r="K115" s="24" t="s">
        <v>289</v>
      </c>
      <c r="L115" s="24" t="s">
        <v>289</v>
      </c>
      <c r="M115" s="8"/>
      <c r="N115" s="272"/>
    </row>
    <row r="116" spans="1:14" s="3" customFormat="1" ht="12" customHeight="1" x14ac:dyDescent="0.15">
      <c r="A116" s="1" t="s">
        <v>849</v>
      </c>
      <c r="B116" s="2" t="s">
        <v>322</v>
      </c>
      <c r="C116" s="6">
        <v>1</v>
      </c>
      <c r="D116" s="2" t="s">
        <v>431</v>
      </c>
      <c r="E116" s="6">
        <v>3111</v>
      </c>
      <c r="F116" s="18">
        <v>6755384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773</v>
      </c>
      <c r="B117" s="2" t="s">
        <v>322</v>
      </c>
      <c r="C117" s="6">
        <v>2</v>
      </c>
      <c r="D117" s="2" t="s">
        <v>431</v>
      </c>
      <c r="E117" s="6">
        <v>3112</v>
      </c>
      <c r="F117" s="18">
        <v>2369392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3" t="s">
        <v>907</v>
      </c>
      <c r="B118" s="2" t="s">
        <v>322</v>
      </c>
      <c r="C118" s="6">
        <v>3</v>
      </c>
      <c r="D118" s="2" t="s">
        <v>431</v>
      </c>
      <c r="E118" s="6">
        <v>3119</v>
      </c>
      <c r="F118" s="24" t="s">
        <v>289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thickBot="1" x14ac:dyDescent="0.2">
      <c r="A119" s="3" t="s">
        <v>505</v>
      </c>
      <c r="B119" s="2" t="s">
        <v>322</v>
      </c>
      <c r="C119" s="6">
        <v>4</v>
      </c>
      <c r="D119" s="2" t="s">
        <v>431</v>
      </c>
      <c r="E119" s="6">
        <v>3190</v>
      </c>
      <c r="F119" s="18"/>
      <c r="G119" s="18"/>
      <c r="H119" s="18"/>
      <c r="I119" s="18"/>
      <c r="J119" s="18"/>
      <c r="K119" s="24" t="s">
        <v>289</v>
      </c>
      <c r="L119" s="24" t="s">
        <v>289</v>
      </c>
      <c r="M119" s="8"/>
      <c r="N119" s="272"/>
    </row>
    <row r="120" spans="1:14" s="3" customFormat="1" ht="12" customHeight="1" thickTop="1" x14ac:dyDescent="0.15">
      <c r="A120" s="38" t="s">
        <v>652</v>
      </c>
      <c r="B120" s="39" t="s">
        <v>322</v>
      </c>
      <c r="C120" s="40">
        <v>5</v>
      </c>
      <c r="D120" s="39" t="s">
        <v>431</v>
      </c>
      <c r="E120" s="40">
        <v>3100</v>
      </c>
      <c r="F120" s="41">
        <f>SUM(F116:F119)</f>
        <v>9124776</v>
      </c>
      <c r="G120" s="41">
        <f>SUM(G116:G119)</f>
        <v>0</v>
      </c>
      <c r="H120" s="41">
        <f>SUM(H116:H119)</f>
        <v>0</v>
      </c>
      <c r="I120" s="41">
        <f>SUM(I116:I119)</f>
        <v>0</v>
      </c>
      <c r="J120" s="41">
        <f>SUM(J116:J119)</f>
        <v>0</v>
      </c>
      <c r="K120" s="45" t="s">
        <v>289</v>
      </c>
      <c r="L120" s="45" t="s">
        <v>289</v>
      </c>
      <c r="M120" s="8"/>
      <c r="N120" s="272"/>
    </row>
    <row r="121" spans="1:14" s="3" customFormat="1" ht="12" customHeight="1" x14ac:dyDescent="0.15">
      <c r="A121" s="30" t="s">
        <v>326</v>
      </c>
      <c r="F121" s="24" t="s">
        <v>289</v>
      </c>
      <c r="G121" s="24" t="s">
        <v>289</v>
      </c>
      <c r="H121" s="24" t="s">
        <v>289</v>
      </c>
      <c r="I121" s="24" t="s">
        <v>289</v>
      </c>
      <c r="J121" s="24" t="s">
        <v>289</v>
      </c>
      <c r="K121" s="24" t="s">
        <v>289</v>
      </c>
      <c r="L121" s="24" t="s">
        <v>289</v>
      </c>
      <c r="M121" s="8"/>
      <c r="N121" s="272"/>
    </row>
    <row r="122" spans="1:14" s="3" customFormat="1" ht="12" customHeight="1" x14ac:dyDescent="0.15">
      <c r="A122" s="1" t="s">
        <v>497</v>
      </c>
      <c r="B122" s="2" t="s">
        <v>322</v>
      </c>
      <c r="C122" s="6">
        <v>6</v>
      </c>
      <c r="D122" s="2" t="s">
        <v>431</v>
      </c>
      <c r="E122" s="6">
        <v>3210</v>
      </c>
      <c r="F122" s="18">
        <v>115094.55</v>
      </c>
      <c r="G122" s="24" t="s">
        <v>289</v>
      </c>
      <c r="H122" s="24" t="s">
        <v>289</v>
      </c>
      <c r="I122" s="18"/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498</v>
      </c>
      <c r="B123" s="2" t="s">
        <v>322</v>
      </c>
      <c r="C123" s="6">
        <v>7</v>
      </c>
      <c r="D123" s="2" t="s">
        <v>431</v>
      </c>
      <c r="E123" s="6">
        <v>3215</v>
      </c>
      <c r="F123" s="18"/>
      <c r="G123" s="24"/>
      <c r="H123" s="24"/>
      <c r="I123" s="18"/>
      <c r="J123" s="24"/>
      <c r="K123" s="24"/>
      <c r="L123" s="24"/>
      <c r="M123" s="8"/>
      <c r="N123" s="272"/>
    </row>
    <row r="124" spans="1:14" s="3" customFormat="1" ht="12" customHeight="1" x14ac:dyDescent="0.15">
      <c r="A124" s="1" t="s">
        <v>499</v>
      </c>
      <c r="B124" s="2" t="s">
        <v>322</v>
      </c>
      <c r="C124" s="6">
        <v>8</v>
      </c>
      <c r="D124" s="2" t="s">
        <v>431</v>
      </c>
      <c r="E124" s="6">
        <v>3220</v>
      </c>
      <c r="F124" s="18"/>
      <c r="G124" s="24" t="s">
        <v>289</v>
      </c>
      <c r="H124" s="24" t="s">
        <v>289</v>
      </c>
      <c r="I124" s="24" t="s">
        <v>289</v>
      </c>
      <c r="J124" s="24" t="s">
        <v>289</v>
      </c>
      <c r="K124" s="24" t="s">
        <v>289</v>
      </c>
      <c r="L124" s="24" t="s">
        <v>289</v>
      </c>
      <c r="M124" s="8"/>
      <c r="N124" s="272"/>
    </row>
    <row r="125" spans="1:14" s="3" customFormat="1" ht="12" customHeight="1" x14ac:dyDescent="0.15">
      <c r="A125" s="1" t="s">
        <v>500</v>
      </c>
      <c r="B125" s="2" t="s">
        <v>322</v>
      </c>
      <c r="C125" s="6">
        <v>9</v>
      </c>
      <c r="D125" s="2" t="s">
        <v>431</v>
      </c>
      <c r="E125" s="6">
        <v>3230</v>
      </c>
      <c r="F125" s="18">
        <v>109491.44</v>
      </c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596</v>
      </c>
      <c r="B126" s="2" t="s">
        <v>322</v>
      </c>
      <c r="C126" s="6">
        <v>10</v>
      </c>
      <c r="D126" s="2" t="s">
        <v>431</v>
      </c>
      <c r="E126" s="6">
        <v>3241</v>
      </c>
      <c r="F126" s="18">
        <v>52249.08</v>
      </c>
      <c r="G126" s="24" t="s">
        <v>289</v>
      </c>
      <c r="H126" s="18"/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597</v>
      </c>
      <c r="B127" s="2" t="s">
        <v>322</v>
      </c>
      <c r="C127" s="6">
        <v>11</v>
      </c>
      <c r="D127" s="2" t="s">
        <v>431</v>
      </c>
      <c r="E127" s="6">
        <v>3242</v>
      </c>
      <c r="F127" s="18">
        <v>7167.79</v>
      </c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598</v>
      </c>
      <c r="B128" s="2" t="s">
        <v>322</v>
      </c>
      <c r="C128" s="6">
        <v>12</v>
      </c>
      <c r="D128" s="2" t="s">
        <v>431</v>
      </c>
      <c r="E128" s="6">
        <v>3243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599</v>
      </c>
      <c r="B129" s="2" t="s">
        <v>322</v>
      </c>
      <c r="C129" s="6">
        <v>13</v>
      </c>
      <c r="D129" s="2" t="s">
        <v>431</v>
      </c>
      <c r="E129" s="6">
        <v>3249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328</v>
      </c>
      <c r="B130" s="2" t="s">
        <v>322</v>
      </c>
      <c r="C130" s="6">
        <v>14</v>
      </c>
      <c r="D130" s="2" t="s">
        <v>431</v>
      </c>
      <c r="E130" s="6">
        <v>3250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501</v>
      </c>
      <c r="B131" s="2" t="s">
        <v>322</v>
      </c>
      <c r="C131" s="6">
        <v>15</v>
      </c>
      <c r="D131" s="2" t="s">
        <v>431</v>
      </c>
      <c r="E131" s="6">
        <v>3260</v>
      </c>
      <c r="F131" s="24" t="s">
        <v>289</v>
      </c>
      <c r="G131" s="18">
        <v>5646.67</v>
      </c>
      <c r="H131" s="24" t="s">
        <v>289</v>
      </c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502</v>
      </c>
      <c r="B132" s="2" t="s">
        <v>322</v>
      </c>
      <c r="C132" s="6">
        <v>16</v>
      </c>
      <c r="D132" s="2" t="s">
        <v>431</v>
      </c>
      <c r="E132" s="6">
        <v>3270</v>
      </c>
      <c r="F132" s="18"/>
      <c r="G132" s="24" t="s">
        <v>289</v>
      </c>
      <c r="H132" s="18"/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503</v>
      </c>
      <c r="B133" s="6">
        <v>4</v>
      </c>
      <c r="C133" s="6">
        <v>17</v>
      </c>
      <c r="D133" s="2"/>
      <c r="E133" s="6">
        <v>3280</v>
      </c>
      <c r="F133" s="24" t="s">
        <v>289</v>
      </c>
      <c r="G133" s="24"/>
      <c r="H133" s="18"/>
      <c r="I133" s="24"/>
      <c r="J133" s="24"/>
      <c r="K133" s="24"/>
      <c r="L133" s="24"/>
      <c r="M133" s="8"/>
      <c r="N133" s="272"/>
    </row>
    <row r="134" spans="1:14" s="3" customFormat="1" ht="12" customHeight="1" thickBot="1" x14ac:dyDescent="0.2">
      <c r="A134" s="1" t="s">
        <v>504</v>
      </c>
      <c r="B134" s="2" t="s">
        <v>322</v>
      </c>
      <c r="C134" s="6">
        <v>18</v>
      </c>
      <c r="D134" s="2" t="s">
        <v>431</v>
      </c>
      <c r="E134" s="6">
        <v>3290</v>
      </c>
      <c r="F134" s="18"/>
      <c r="G134" s="18"/>
      <c r="H134" s="18"/>
      <c r="I134" s="18"/>
      <c r="J134" s="18"/>
      <c r="K134" s="24" t="s">
        <v>289</v>
      </c>
      <c r="L134" s="24" t="s">
        <v>289</v>
      </c>
      <c r="M134" s="8"/>
      <c r="N134" s="272"/>
    </row>
    <row r="135" spans="1:14" s="3" customFormat="1" ht="12" customHeight="1" thickTop="1" x14ac:dyDescent="0.15">
      <c r="A135" s="38" t="s">
        <v>435</v>
      </c>
      <c r="B135" s="39" t="s">
        <v>322</v>
      </c>
      <c r="C135" s="40">
        <v>19</v>
      </c>
      <c r="D135" s="39" t="s">
        <v>431</v>
      </c>
      <c r="E135" s="40">
        <v>3200</v>
      </c>
      <c r="F135" s="41">
        <f>SUM(F122:F134)</f>
        <v>284002.86</v>
      </c>
      <c r="G135" s="41">
        <f>SUM(G122:G134)</f>
        <v>5646.67</v>
      </c>
      <c r="H135" s="41">
        <f>SUM(H122:H134)</f>
        <v>0</v>
      </c>
      <c r="I135" s="41">
        <f>SUM(I122:I134)</f>
        <v>0</v>
      </c>
      <c r="J135" s="41">
        <f>SUM(J122:J134)</f>
        <v>0</v>
      </c>
      <c r="K135" s="45" t="s">
        <v>289</v>
      </c>
      <c r="L135" s="45" t="s">
        <v>289</v>
      </c>
      <c r="M135" s="8"/>
      <c r="N135" s="272"/>
    </row>
    <row r="136" spans="1:14" s="3" customFormat="1" ht="12" customHeight="1" x14ac:dyDescent="0.15">
      <c r="A136" s="3" t="s">
        <v>323</v>
      </c>
      <c r="B136" s="1" t="s">
        <v>322</v>
      </c>
      <c r="C136" s="6">
        <v>20</v>
      </c>
      <c r="D136" s="2" t="s">
        <v>431</v>
      </c>
      <c r="E136" s="6">
        <v>3700</v>
      </c>
      <c r="F136" s="18"/>
      <c r="G136" s="18"/>
      <c r="H136" s="18"/>
      <c r="I136" s="24" t="s">
        <v>289</v>
      </c>
      <c r="J136" s="24" t="s">
        <v>289</v>
      </c>
      <c r="K136" s="24" t="s">
        <v>289</v>
      </c>
      <c r="L136" s="24" t="s">
        <v>289</v>
      </c>
      <c r="M136" s="8"/>
      <c r="N136" s="272"/>
    </row>
    <row r="137" spans="1:14" s="3" customFormat="1" ht="12" customHeight="1" x14ac:dyDescent="0.15">
      <c r="A137" s="1" t="s">
        <v>600</v>
      </c>
      <c r="B137" s="1" t="s">
        <v>322</v>
      </c>
      <c r="C137" s="6">
        <v>21</v>
      </c>
      <c r="D137" s="2" t="s">
        <v>431</v>
      </c>
      <c r="E137" s="6">
        <v>3800</v>
      </c>
      <c r="F137" s="18"/>
      <c r="G137" s="24" t="s">
        <v>289</v>
      </c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thickBot="1" x14ac:dyDescent="0.2">
      <c r="A138" s="1" t="s">
        <v>601</v>
      </c>
      <c r="B138" s="1" t="s">
        <v>322</v>
      </c>
      <c r="C138" s="6">
        <v>22</v>
      </c>
      <c r="D138" s="2" t="s">
        <v>431</v>
      </c>
      <c r="E138" s="6">
        <v>3900</v>
      </c>
      <c r="F138" s="24" t="s">
        <v>289</v>
      </c>
      <c r="G138" s="24" t="s">
        <v>289</v>
      </c>
      <c r="H138" s="24" t="s">
        <v>289</v>
      </c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Top="1" x14ac:dyDescent="0.15">
      <c r="A139" s="38" t="s">
        <v>416</v>
      </c>
      <c r="B139" s="39" t="s">
        <v>322</v>
      </c>
      <c r="C139" s="40">
        <v>23</v>
      </c>
      <c r="D139" s="39" t="s">
        <v>431</v>
      </c>
      <c r="E139" s="40">
        <v>3000</v>
      </c>
      <c r="F139" s="41">
        <f>F120+SUM(F135:F138)</f>
        <v>9408778.8599999994</v>
      </c>
      <c r="G139" s="41">
        <f>G120+SUM(G135:G136)</f>
        <v>5646.67</v>
      </c>
      <c r="H139" s="41">
        <f>H120+SUM(H135:H138)</f>
        <v>0</v>
      </c>
      <c r="I139" s="41">
        <f>I120+I135</f>
        <v>0</v>
      </c>
      <c r="J139" s="41">
        <f>J120+J135</f>
        <v>0</v>
      </c>
      <c r="K139" s="45" t="s">
        <v>289</v>
      </c>
      <c r="L139" s="45" t="s">
        <v>289</v>
      </c>
      <c r="M139" s="8"/>
      <c r="N139" s="272"/>
    </row>
    <row r="140" spans="1:14" s="3" customFormat="1" ht="12" customHeight="1" x14ac:dyDescent="0.2">
      <c r="A140" s="70"/>
      <c r="B140" s="36"/>
      <c r="C140" s="37"/>
      <c r="D140" s="37"/>
      <c r="E140" s="37"/>
      <c r="F140" s="23" t="s">
        <v>274</v>
      </c>
      <c r="G140" s="23" t="s">
        <v>275</v>
      </c>
      <c r="H140" s="23" t="s">
        <v>276</v>
      </c>
      <c r="I140" s="23" t="s">
        <v>277</v>
      </c>
      <c r="J140" s="23" t="s">
        <v>278</v>
      </c>
      <c r="K140" s="20"/>
      <c r="L140" s="20"/>
      <c r="M140" s="8"/>
      <c r="N140" s="272"/>
    </row>
    <row r="141" spans="1:14" s="3" customFormat="1" ht="12" customHeight="1" x14ac:dyDescent="0.2">
      <c r="A141" s="29" t="s">
        <v>320</v>
      </c>
      <c r="F141" s="23"/>
      <c r="G141" s="23"/>
      <c r="H141" s="16" t="s">
        <v>283</v>
      </c>
      <c r="I141" s="23"/>
      <c r="J141" s="23"/>
      <c r="K141" s="20"/>
      <c r="L141" s="20"/>
      <c r="M141" s="8"/>
      <c r="N141" s="272"/>
    </row>
    <row r="142" spans="1:14" s="3" customFormat="1" ht="12" customHeight="1" x14ac:dyDescent="0.2">
      <c r="A142" s="28" t="s">
        <v>457</v>
      </c>
      <c r="F142" s="16" t="s">
        <v>281</v>
      </c>
      <c r="G142" s="16" t="s">
        <v>282</v>
      </c>
      <c r="H142" s="224" t="s">
        <v>772</v>
      </c>
      <c r="I142" s="16" t="s">
        <v>284</v>
      </c>
      <c r="J142" s="16" t="s">
        <v>285</v>
      </c>
      <c r="K142" s="20"/>
      <c r="L142" s="20"/>
      <c r="M142" s="8"/>
      <c r="N142" s="272"/>
    </row>
    <row r="143" spans="1:14" s="3" customFormat="1" ht="12" customHeight="1" x14ac:dyDescent="0.15">
      <c r="A143" s="30" t="s">
        <v>324</v>
      </c>
      <c r="F143" s="24" t="s">
        <v>289</v>
      </c>
      <c r="G143" s="24" t="s">
        <v>289</v>
      </c>
      <c r="H143" s="24" t="s">
        <v>289</v>
      </c>
      <c r="I143" s="24" t="s">
        <v>289</v>
      </c>
      <c r="J143" s="24" t="s">
        <v>289</v>
      </c>
      <c r="K143" s="24" t="s">
        <v>289</v>
      </c>
      <c r="L143" s="24" t="s">
        <v>289</v>
      </c>
      <c r="M143" s="8"/>
      <c r="N143" s="272"/>
    </row>
    <row r="144" spans="1:14" s="3" customFormat="1" ht="12" customHeight="1" x14ac:dyDescent="0.15">
      <c r="A144" s="1" t="s">
        <v>603</v>
      </c>
      <c r="B144" s="2" t="s">
        <v>325</v>
      </c>
      <c r="C144" s="6">
        <v>1</v>
      </c>
      <c r="D144" s="2" t="s">
        <v>431</v>
      </c>
      <c r="E144" s="6">
        <v>4100</v>
      </c>
      <c r="F144" s="18"/>
      <c r="G144" s="18"/>
      <c r="H144" s="18"/>
      <c r="I144" s="18"/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thickBot="1" x14ac:dyDescent="0.2">
      <c r="A145" s="1" t="s">
        <v>602</v>
      </c>
      <c r="B145" s="2" t="s">
        <v>325</v>
      </c>
      <c r="C145" s="6">
        <v>2</v>
      </c>
      <c r="D145" s="2" t="s">
        <v>431</v>
      </c>
      <c r="E145" s="6">
        <v>4200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Top="1" x14ac:dyDescent="0.15">
      <c r="A146" s="38" t="s">
        <v>436</v>
      </c>
      <c r="B146" s="39" t="s">
        <v>325</v>
      </c>
      <c r="C146" s="40">
        <v>3</v>
      </c>
      <c r="D146" s="39" t="s">
        <v>431</v>
      </c>
      <c r="E146" s="40"/>
      <c r="F146" s="41">
        <f>SUM(F144:F145)</f>
        <v>0</v>
      </c>
      <c r="G146" s="41">
        <f>SUM(G144:G145)</f>
        <v>0</v>
      </c>
      <c r="H146" s="41">
        <f>SUM(H144:H145)</f>
        <v>0</v>
      </c>
      <c r="I146" s="41">
        <f>SUM(I144:I145)</f>
        <v>0</v>
      </c>
      <c r="J146" s="45" t="s">
        <v>289</v>
      </c>
      <c r="K146" s="45" t="s">
        <v>289</v>
      </c>
      <c r="L146" s="45" t="s">
        <v>289</v>
      </c>
      <c r="M146" s="8"/>
      <c r="N146" s="272"/>
    </row>
    <row r="147" spans="1:14" s="3" customFormat="1" ht="12" customHeight="1" x14ac:dyDescent="0.15">
      <c r="A147" s="30" t="s">
        <v>326</v>
      </c>
      <c r="B147" s="2"/>
      <c r="C147" s="2"/>
      <c r="D147" s="2"/>
      <c r="E147" s="2"/>
      <c r="F147" s="24" t="s">
        <v>289</v>
      </c>
      <c r="G147" s="24" t="s">
        <v>289</v>
      </c>
      <c r="H147" s="24" t="s">
        <v>289</v>
      </c>
      <c r="I147" s="24" t="s">
        <v>289</v>
      </c>
      <c r="J147" s="24" t="s">
        <v>289</v>
      </c>
      <c r="K147" s="24" t="s">
        <v>289</v>
      </c>
      <c r="L147" s="24" t="s">
        <v>289</v>
      </c>
      <c r="M147" s="8"/>
      <c r="N147" s="272"/>
    </row>
    <row r="148" spans="1:14" s="3" customFormat="1" ht="12" customHeight="1" x14ac:dyDescent="0.15">
      <c r="A148" s="1" t="s">
        <v>604</v>
      </c>
      <c r="C148" s="1" t="s">
        <v>327</v>
      </c>
      <c r="D148" s="1"/>
      <c r="E148" s="6">
        <v>4300</v>
      </c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3" t="s">
        <v>653</v>
      </c>
      <c r="B149" s="2" t="s">
        <v>325</v>
      </c>
      <c r="C149" s="6">
        <v>4</v>
      </c>
      <c r="D149" s="2" t="s">
        <v>431</v>
      </c>
      <c r="E149" s="6">
        <v>4310</v>
      </c>
      <c r="F149" s="18"/>
      <c r="G149" s="24" t="s">
        <v>289</v>
      </c>
      <c r="H149" s="18"/>
      <c r="I149" s="18"/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1" t="s">
        <v>486</v>
      </c>
      <c r="B150" s="2" t="s">
        <v>325</v>
      </c>
      <c r="C150" s="6">
        <v>5</v>
      </c>
      <c r="D150" s="2" t="s">
        <v>431</v>
      </c>
      <c r="E150" s="6">
        <v>4330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487</v>
      </c>
      <c r="B151" s="2" t="s">
        <v>325</v>
      </c>
      <c r="C151" s="6">
        <v>6</v>
      </c>
      <c r="D151" s="2" t="s">
        <v>431</v>
      </c>
      <c r="E151" s="6">
        <v>4350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488</v>
      </c>
      <c r="B152" s="2"/>
      <c r="C152" s="6"/>
      <c r="D152" s="6"/>
      <c r="E152" s="6">
        <v>4500</v>
      </c>
      <c r="F152" s="24" t="s">
        <v>289</v>
      </c>
      <c r="G152" s="24" t="s">
        <v>289</v>
      </c>
      <c r="H152" s="24" t="s">
        <v>289</v>
      </c>
      <c r="I152" s="24" t="s">
        <v>289</v>
      </c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650</v>
      </c>
      <c r="B153" s="2" t="s">
        <v>325</v>
      </c>
      <c r="C153" s="6">
        <v>7</v>
      </c>
      <c r="D153" s="2" t="s">
        <v>431</v>
      </c>
      <c r="E153" s="6">
        <v>4520</v>
      </c>
      <c r="F153" s="24" t="s">
        <v>289</v>
      </c>
      <c r="G153" s="24" t="s">
        <v>289</v>
      </c>
      <c r="H153" s="18">
        <v>460188.73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651</v>
      </c>
      <c r="B154" s="2" t="s">
        <v>325</v>
      </c>
      <c r="C154" s="6">
        <v>8</v>
      </c>
      <c r="D154" s="2" t="s">
        <v>431</v>
      </c>
      <c r="E154" s="6">
        <v>4530</v>
      </c>
      <c r="F154" s="24" t="s">
        <v>289</v>
      </c>
      <c r="G154" s="24" t="s">
        <v>289</v>
      </c>
      <c r="H154" s="18">
        <v>109408.65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489</v>
      </c>
      <c r="B155" s="2" t="s">
        <v>325</v>
      </c>
      <c r="C155" s="6">
        <v>9</v>
      </c>
      <c r="D155" s="2" t="s">
        <v>431</v>
      </c>
      <c r="E155" s="6">
        <v>4540</v>
      </c>
      <c r="F155" s="24" t="s">
        <v>289</v>
      </c>
      <c r="G155" s="24" t="s">
        <v>289</v>
      </c>
      <c r="H155" s="18">
        <v>168723.75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490</v>
      </c>
      <c r="B156" s="2" t="s">
        <v>325</v>
      </c>
      <c r="C156" s="6">
        <v>10</v>
      </c>
      <c r="D156" s="2" t="s">
        <v>431</v>
      </c>
      <c r="E156" s="6">
        <v>4550</v>
      </c>
      <c r="F156" s="18"/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491</v>
      </c>
      <c r="B157" s="2" t="s">
        <v>325</v>
      </c>
      <c r="C157" s="6">
        <v>11</v>
      </c>
      <c r="D157" s="2" t="s">
        <v>431</v>
      </c>
      <c r="E157" s="6">
        <v>4560</v>
      </c>
      <c r="F157" s="24" t="s">
        <v>289</v>
      </c>
      <c r="G157" s="18">
        <v>322399.28000000003</v>
      </c>
      <c r="H157" s="24" t="s">
        <v>289</v>
      </c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487</v>
      </c>
      <c r="B158" s="2" t="s">
        <v>325</v>
      </c>
      <c r="C158" s="6">
        <v>12</v>
      </c>
      <c r="D158" s="2" t="s">
        <v>431</v>
      </c>
      <c r="E158" s="6">
        <v>4570</v>
      </c>
      <c r="F158" s="18"/>
      <c r="G158" s="24" t="s">
        <v>289</v>
      </c>
      <c r="H158" s="18">
        <v>249345.3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492</v>
      </c>
      <c r="B159" s="2" t="s">
        <v>325</v>
      </c>
      <c r="C159" s="6">
        <v>13</v>
      </c>
      <c r="D159" s="2" t="s">
        <v>431</v>
      </c>
      <c r="E159" s="6">
        <v>4580</v>
      </c>
      <c r="F159" s="18">
        <v>106811.56</v>
      </c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thickBot="1" x14ac:dyDescent="0.2">
      <c r="A160" s="1" t="s">
        <v>493</v>
      </c>
      <c r="B160" s="2" t="s">
        <v>325</v>
      </c>
      <c r="C160" s="6">
        <v>14</v>
      </c>
      <c r="D160" s="2" t="s">
        <v>431</v>
      </c>
      <c r="E160" s="6">
        <v>4590</v>
      </c>
      <c r="F160" s="18"/>
      <c r="G160" s="18"/>
      <c r="H160" s="18">
        <v>43458.1</v>
      </c>
      <c r="I160" s="18"/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Top="1" x14ac:dyDescent="0.15">
      <c r="A161" s="38" t="s">
        <v>437</v>
      </c>
      <c r="B161" s="39" t="s">
        <v>325</v>
      </c>
      <c r="C161" s="40">
        <v>15</v>
      </c>
      <c r="D161" s="39" t="s">
        <v>431</v>
      </c>
      <c r="E161" s="40"/>
      <c r="F161" s="41">
        <f>SUM(F149:F160)</f>
        <v>106811.56</v>
      </c>
      <c r="G161" s="41">
        <f>SUM(G149:G160)</f>
        <v>322399.28000000003</v>
      </c>
      <c r="H161" s="41">
        <f>SUM(H149:H160)</f>
        <v>1031124.5299999999</v>
      </c>
      <c r="I161" s="41">
        <f>SUM(I149:I160)</f>
        <v>0</v>
      </c>
      <c r="J161" s="45" t="s">
        <v>289</v>
      </c>
      <c r="K161" s="45" t="s">
        <v>289</v>
      </c>
      <c r="L161" s="45" t="s">
        <v>289</v>
      </c>
      <c r="M161" s="8"/>
      <c r="N161" s="272"/>
    </row>
    <row r="162" spans="1:14" s="3" customFormat="1" ht="12" customHeight="1" x14ac:dyDescent="0.15">
      <c r="A162" s="3" t="s">
        <v>683</v>
      </c>
      <c r="B162" s="2" t="s">
        <v>325</v>
      </c>
      <c r="C162" s="6">
        <v>16</v>
      </c>
      <c r="D162" s="2" t="s">
        <v>431</v>
      </c>
      <c r="E162" s="6">
        <v>4700</v>
      </c>
      <c r="F162" s="18"/>
      <c r="G162" s="18"/>
      <c r="H162" s="18"/>
      <c r="I162" s="18"/>
      <c r="J162" s="24" t="s">
        <v>289</v>
      </c>
      <c r="K162" s="24" t="s">
        <v>289</v>
      </c>
      <c r="L162" s="24" t="s">
        <v>289</v>
      </c>
      <c r="M162" s="8"/>
      <c r="N162" s="272"/>
    </row>
    <row r="163" spans="1:14" s="3" customFormat="1" ht="12" customHeight="1" x14ac:dyDescent="0.15">
      <c r="A163" s="30" t="s">
        <v>329</v>
      </c>
      <c r="E163" s="6"/>
      <c r="F163" s="24" t="s">
        <v>289</v>
      </c>
      <c r="G163" s="24" t="s">
        <v>289</v>
      </c>
      <c r="H163" s="24" t="s">
        <v>289</v>
      </c>
      <c r="I163" s="24" t="s">
        <v>289</v>
      </c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1" t="s">
        <v>494</v>
      </c>
      <c r="B164" s="2" t="s">
        <v>325</v>
      </c>
      <c r="C164" s="6">
        <v>17</v>
      </c>
      <c r="D164" s="2" t="s">
        <v>431</v>
      </c>
      <c r="E164" s="6">
        <v>4810</v>
      </c>
      <c r="F164" s="18">
        <v>23688.76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495</v>
      </c>
      <c r="B165" s="2" t="s">
        <v>325</v>
      </c>
      <c r="C165" s="6">
        <v>18</v>
      </c>
      <c r="D165" s="2" t="s">
        <v>431</v>
      </c>
      <c r="E165" s="6">
        <v>4890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30" t="s">
        <v>686</v>
      </c>
      <c r="B166" s="2"/>
      <c r="C166" s="6"/>
      <c r="D166" s="2"/>
      <c r="E166" s="6"/>
      <c r="F166" s="24" t="s">
        <v>289</v>
      </c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thickBot="1" x14ac:dyDescent="0.2">
      <c r="A167" s="1" t="s">
        <v>496</v>
      </c>
      <c r="B167" s="2" t="s">
        <v>325</v>
      </c>
      <c r="C167" s="6">
        <v>19</v>
      </c>
      <c r="D167" s="2" t="s">
        <v>431</v>
      </c>
      <c r="E167" s="6">
        <v>4900</v>
      </c>
      <c r="F167" s="18"/>
      <c r="G167" s="18"/>
      <c r="H167" s="18"/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Top="1" x14ac:dyDescent="0.15">
      <c r="A168" s="38" t="s">
        <v>459</v>
      </c>
      <c r="B168" s="39" t="s">
        <v>325</v>
      </c>
      <c r="C168" s="40">
        <v>20</v>
      </c>
      <c r="D168" s="39" t="s">
        <v>431</v>
      </c>
      <c r="E168" s="44">
        <v>4000</v>
      </c>
      <c r="F168" s="41">
        <f>F146+F161+SUM(F162:F167)</f>
        <v>130500.31999999999</v>
      </c>
      <c r="G168" s="41">
        <f>G146+G161+SUM(G162:G167)</f>
        <v>322399.28000000003</v>
      </c>
      <c r="H168" s="41">
        <f>H146+H161+SUM(H162:H167)</f>
        <v>1031124.5299999999</v>
      </c>
      <c r="I168" s="41">
        <f>I146+I161+SUM(I162:I167)</f>
        <v>0</v>
      </c>
      <c r="J168" s="45" t="s">
        <v>289</v>
      </c>
      <c r="K168" s="45" t="s">
        <v>289</v>
      </c>
      <c r="L168" s="45" t="s">
        <v>289</v>
      </c>
      <c r="M168" s="8"/>
      <c r="N168" s="272"/>
    </row>
    <row r="169" spans="1:14" s="3" customFormat="1" ht="12" customHeight="1" x14ac:dyDescent="0.2">
      <c r="A169" s="70"/>
      <c r="B169" s="36"/>
      <c r="C169" s="75"/>
      <c r="D169" s="75"/>
      <c r="E169" s="75"/>
      <c r="F169" s="23" t="s">
        <v>274</v>
      </c>
      <c r="G169" s="23" t="s">
        <v>275</v>
      </c>
      <c r="H169" s="23" t="s">
        <v>276</v>
      </c>
      <c r="I169" s="23" t="s">
        <v>277</v>
      </c>
      <c r="J169" s="23" t="s">
        <v>278</v>
      </c>
      <c r="K169" s="20"/>
      <c r="L169" s="20"/>
      <c r="M169" s="8"/>
      <c r="N169" s="272"/>
    </row>
    <row r="170" spans="1:14" s="3" customFormat="1" ht="12" customHeight="1" x14ac:dyDescent="0.2">
      <c r="A170" s="29" t="s">
        <v>684</v>
      </c>
      <c r="F170" s="23"/>
      <c r="G170" s="23"/>
      <c r="H170" s="16" t="s">
        <v>283</v>
      </c>
      <c r="I170" s="23"/>
      <c r="J170" s="23"/>
      <c r="K170" s="20"/>
      <c r="L170" s="20"/>
      <c r="M170" s="8"/>
      <c r="N170" s="272"/>
    </row>
    <row r="171" spans="1:14" s="3" customFormat="1" ht="12" customHeight="1" x14ac:dyDescent="0.2">
      <c r="A171" s="27" t="s">
        <v>330</v>
      </c>
      <c r="B171" s="7"/>
      <c r="C171" s="7"/>
      <c r="D171" s="7"/>
      <c r="E171" s="7"/>
      <c r="F171" s="16" t="s">
        <v>281</v>
      </c>
      <c r="G171" s="16" t="s">
        <v>282</v>
      </c>
      <c r="H171" s="224" t="s">
        <v>772</v>
      </c>
      <c r="I171" s="16" t="s">
        <v>284</v>
      </c>
      <c r="J171" s="16" t="s">
        <v>285</v>
      </c>
      <c r="K171" s="20"/>
      <c r="L171" s="20"/>
      <c r="M171" s="8"/>
      <c r="N171" s="272"/>
    </row>
    <row r="172" spans="1:14" s="3" customFormat="1" ht="12" customHeight="1" x14ac:dyDescent="0.15">
      <c r="A172" s="1" t="s">
        <v>523</v>
      </c>
      <c r="B172" s="2" t="s">
        <v>331</v>
      </c>
      <c r="C172" s="6">
        <v>1</v>
      </c>
      <c r="D172" s="2" t="s">
        <v>431</v>
      </c>
      <c r="E172" s="6">
        <v>5110</v>
      </c>
      <c r="F172" s="18"/>
      <c r="G172" s="24" t="s">
        <v>289</v>
      </c>
      <c r="H172" s="24" t="s">
        <v>289</v>
      </c>
      <c r="I172" s="18"/>
      <c r="J172" s="24" t="s">
        <v>289</v>
      </c>
      <c r="K172" s="24" t="s">
        <v>289</v>
      </c>
      <c r="L172" s="24" t="s">
        <v>289</v>
      </c>
      <c r="M172" s="8"/>
      <c r="N172" s="272"/>
    </row>
    <row r="173" spans="1:14" s="3" customFormat="1" ht="12" customHeight="1" x14ac:dyDescent="0.15">
      <c r="A173" s="1" t="s">
        <v>524</v>
      </c>
      <c r="B173" s="6">
        <v>6</v>
      </c>
      <c r="C173" s="6">
        <v>2</v>
      </c>
      <c r="D173" s="2" t="s">
        <v>431</v>
      </c>
      <c r="E173" s="6">
        <v>5120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526</v>
      </c>
      <c r="B174" s="2" t="s">
        <v>331</v>
      </c>
      <c r="C174" s="6">
        <v>3</v>
      </c>
      <c r="D174" s="2" t="s">
        <v>431</v>
      </c>
      <c r="E174" s="6">
        <v>5130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thickBot="1" x14ac:dyDescent="0.2">
      <c r="A175" s="1" t="s">
        <v>525</v>
      </c>
      <c r="B175" s="2" t="s">
        <v>331</v>
      </c>
      <c r="C175" s="6">
        <v>4</v>
      </c>
      <c r="D175" s="2" t="s">
        <v>431</v>
      </c>
      <c r="E175" s="6">
        <v>5140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Top="1" x14ac:dyDescent="0.15">
      <c r="A176" s="38" t="s">
        <v>438</v>
      </c>
      <c r="B176" s="39" t="s">
        <v>331</v>
      </c>
      <c r="C176" s="44">
        <v>5</v>
      </c>
      <c r="D176" s="39" t="s">
        <v>431</v>
      </c>
      <c r="E176" s="44">
        <v>5100</v>
      </c>
      <c r="F176" s="41">
        <f>SUM(F172:F175)</f>
        <v>0</v>
      </c>
      <c r="G176" s="41" t="s">
        <v>289</v>
      </c>
      <c r="H176" s="41" t="s">
        <v>289</v>
      </c>
      <c r="I176" s="41">
        <f>SUM(I172:I175)</f>
        <v>0</v>
      </c>
      <c r="J176" s="45" t="s">
        <v>289</v>
      </c>
      <c r="K176" s="45" t="s">
        <v>289</v>
      </c>
      <c r="L176" s="45" t="s">
        <v>289</v>
      </c>
      <c r="M176" s="8"/>
      <c r="N176" s="272"/>
    </row>
    <row r="177" spans="1:14" s="3" customFormat="1" ht="12" customHeight="1" x14ac:dyDescent="0.15">
      <c r="A177" s="30" t="s">
        <v>332</v>
      </c>
      <c r="B177" s="2"/>
      <c r="C177" s="2"/>
      <c r="D177" s="2"/>
      <c r="E177" s="2"/>
      <c r="F177" s="24" t="s">
        <v>289</v>
      </c>
      <c r="G177" s="24" t="s">
        <v>289</v>
      </c>
      <c r="H177" s="24" t="s">
        <v>289</v>
      </c>
      <c r="I177" s="24" t="s">
        <v>289</v>
      </c>
      <c r="J177" s="24" t="s">
        <v>289</v>
      </c>
      <c r="K177" s="24" t="s">
        <v>289</v>
      </c>
      <c r="L177" s="24" t="s">
        <v>289</v>
      </c>
      <c r="M177" s="8"/>
      <c r="N177" s="272"/>
    </row>
    <row r="178" spans="1:14" s="3" customFormat="1" ht="12" customHeight="1" x14ac:dyDescent="0.15">
      <c r="A178" s="1" t="s">
        <v>527</v>
      </c>
      <c r="B178" s="2" t="s">
        <v>331</v>
      </c>
      <c r="C178" s="6">
        <v>6</v>
      </c>
      <c r="D178" s="2" t="s">
        <v>431</v>
      </c>
      <c r="E178" s="6">
        <v>5210</v>
      </c>
      <c r="F178" s="24" t="s">
        <v>289</v>
      </c>
      <c r="G178" s="18">
        <v>4306</v>
      </c>
      <c r="H178" s="18"/>
      <c r="I178" s="18">
        <v>0</v>
      </c>
      <c r="J178" s="18">
        <v>501328.04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528</v>
      </c>
      <c r="B179" s="2" t="s">
        <v>331</v>
      </c>
      <c r="C179" s="6">
        <v>7</v>
      </c>
      <c r="D179" s="2" t="s">
        <v>431</v>
      </c>
      <c r="E179" s="6">
        <v>5221</v>
      </c>
      <c r="F179" s="18"/>
      <c r="G179" s="24" t="s">
        <v>289</v>
      </c>
      <c r="H179" s="18"/>
      <c r="I179" s="18"/>
      <c r="J179" s="18"/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3" t="s">
        <v>529</v>
      </c>
      <c r="B180" s="2" t="s">
        <v>331</v>
      </c>
      <c r="C180" s="6">
        <v>8</v>
      </c>
      <c r="D180" s="2" t="s">
        <v>431</v>
      </c>
      <c r="E180" s="6">
        <v>5222</v>
      </c>
      <c r="F180" s="18"/>
      <c r="G180" s="18"/>
      <c r="H180" s="24" t="s">
        <v>289</v>
      </c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thickBot="1" x14ac:dyDescent="0.2">
      <c r="A181" s="3" t="s">
        <v>530</v>
      </c>
      <c r="B181" s="2" t="s">
        <v>331</v>
      </c>
      <c r="C181" s="6">
        <v>9</v>
      </c>
      <c r="D181" s="2" t="s">
        <v>431</v>
      </c>
      <c r="E181" s="6">
        <v>5230</v>
      </c>
      <c r="F181" s="18"/>
      <c r="G181" s="18"/>
      <c r="H181" s="18"/>
      <c r="I181" s="24" t="s">
        <v>289</v>
      </c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Top="1" x14ac:dyDescent="0.15">
      <c r="A182" s="38" t="s">
        <v>417</v>
      </c>
      <c r="B182" s="39" t="s">
        <v>331</v>
      </c>
      <c r="C182" s="44">
        <v>10</v>
      </c>
      <c r="D182" s="39" t="s">
        <v>431</v>
      </c>
      <c r="E182" s="44">
        <v>5200</v>
      </c>
      <c r="F182" s="41">
        <f>SUM(F178:F181)</f>
        <v>0</v>
      </c>
      <c r="G182" s="41">
        <f>SUM(G178:G181)</f>
        <v>4306</v>
      </c>
      <c r="H182" s="41">
        <f>SUM(H178:H181)</f>
        <v>0</v>
      </c>
      <c r="I182" s="41">
        <f>SUM(I178:I181)</f>
        <v>0</v>
      </c>
      <c r="J182" s="41">
        <f>SUM(J178:J181)</f>
        <v>501328.04</v>
      </c>
      <c r="K182" s="45" t="s">
        <v>289</v>
      </c>
      <c r="L182" s="45" t="s">
        <v>289</v>
      </c>
      <c r="M182" s="8"/>
      <c r="N182" s="272"/>
    </row>
    <row r="183" spans="1:14" s="3" customFormat="1" ht="12" customHeight="1" x14ac:dyDescent="0.15">
      <c r="A183" s="30" t="s">
        <v>333</v>
      </c>
      <c r="B183" s="2"/>
      <c r="C183" s="6"/>
      <c r="D183" s="6"/>
      <c r="E183" s="6"/>
      <c r="F183" s="24" t="s">
        <v>289</v>
      </c>
      <c r="G183" s="24" t="s">
        <v>289</v>
      </c>
      <c r="H183" s="24" t="s">
        <v>289</v>
      </c>
      <c r="I183" s="24" t="s">
        <v>289</v>
      </c>
      <c r="J183" s="24" t="s">
        <v>289</v>
      </c>
      <c r="K183" s="24" t="s">
        <v>289</v>
      </c>
      <c r="L183" s="24" t="s">
        <v>289</v>
      </c>
      <c r="M183" s="8"/>
      <c r="N183" s="272"/>
    </row>
    <row r="184" spans="1:14" s="3" customFormat="1" ht="12" customHeight="1" x14ac:dyDescent="0.15">
      <c r="A184" s="1" t="s">
        <v>531</v>
      </c>
      <c r="B184" s="2" t="s">
        <v>331</v>
      </c>
      <c r="C184" s="6">
        <v>11</v>
      </c>
      <c r="D184" s="2" t="s">
        <v>431</v>
      </c>
      <c r="E184" s="6">
        <v>5251</v>
      </c>
      <c r="F184" s="18"/>
      <c r="G184" s="18"/>
      <c r="H184" s="18"/>
      <c r="I184" s="18"/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532</v>
      </c>
      <c r="B185" s="2" t="s">
        <v>331</v>
      </c>
      <c r="C185" s="6">
        <v>12</v>
      </c>
      <c r="D185" s="2" t="s">
        <v>431</v>
      </c>
      <c r="E185" s="6">
        <v>5252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ht="12" customHeight="1" thickBot="1" x14ac:dyDescent="0.25">
      <c r="A186" s="1" t="s">
        <v>533</v>
      </c>
      <c r="B186" s="2" t="s">
        <v>331</v>
      </c>
      <c r="C186" s="6">
        <v>13</v>
      </c>
      <c r="D186" s="2" t="s">
        <v>431</v>
      </c>
      <c r="E186" s="6">
        <v>5253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N186" s="270"/>
    </row>
    <row r="187" spans="1:14" ht="12" customHeight="1" thickTop="1" x14ac:dyDescent="0.2">
      <c r="A187" s="38" t="s">
        <v>418</v>
      </c>
      <c r="B187" s="39" t="s">
        <v>331</v>
      </c>
      <c r="C187" s="40">
        <v>14</v>
      </c>
      <c r="D187" s="39" t="s">
        <v>431</v>
      </c>
      <c r="E187" s="44">
        <v>5250</v>
      </c>
      <c r="F187" s="41">
        <f>SUM(F184:F186)</f>
        <v>0</v>
      </c>
      <c r="G187" s="41">
        <f>SUM(G184:G186)</f>
        <v>0</v>
      </c>
      <c r="H187" s="41">
        <f>SUM(H184:H186)</f>
        <v>0</v>
      </c>
      <c r="I187" s="41">
        <f>SUM(I184:I186)</f>
        <v>0</v>
      </c>
      <c r="J187" s="45" t="s">
        <v>289</v>
      </c>
      <c r="K187" s="45" t="s">
        <v>289</v>
      </c>
      <c r="L187" s="45" t="s">
        <v>289</v>
      </c>
      <c r="N187" s="270"/>
    </row>
    <row r="188" spans="1:14" s="3" customFormat="1" ht="12" customHeight="1" x14ac:dyDescent="0.15">
      <c r="A188" s="3" t="s">
        <v>334</v>
      </c>
      <c r="B188" s="2" t="s">
        <v>331</v>
      </c>
      <c r="C188" s="6">
        <v>15</v>
      </c>
      <c r="D188" s="2" t="s">
        <v>431</v>
      </c>
      <c r="E188" s="6">
        <v>5300</v>
      </c>
      <c r="F188" s="18"/>
      <c r="G188" s="18"/>
      <c r="H188" s="18"/>
      <c r="I188" s="18"/>
      <c r="J188" s="24" t="s">
        <v>289</v>
      </c>
      <c r="K188" s="24" t="s">
        <v>289</v>
      </c>
      <c r="L188" s="24" t="s">
        <v>289</v>
      </c>
      <c r="M188" s="8"/>
      <c r="N188" s="272"/>
    </row>
    <row r="189" spans="1:14" s="3" customFormat="1" ht="12" customHeight="1" x14ac:dyDescent="0.15">
      <c r="A189" s="3" t="s">
        <v>335</v>
      </c>
      <c r="B189" s="2" t="s">
        <v>331</v>
      </c>
      <c r="C189" s="6">
        <v>16</v>
      </c>
      <c r="D189" s="2" t="s">
        <v>431</v>
      </c>
      <c r="E189" s="6">
        <v>5500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thickBot="1" x14ac:dyDescent="0.2">
      <c r="A190" s="1" t="s">
        <v>336</v>
      </c>
      <c r="B190" s="2" t="s">
        <v>331</v>
      </c>
      <c r="C190" s="6">
        <v>17</v>
      </c>
      <c r="D190" s="2" t="s">
        <v>431</v>
      </c>
      <c r="E190" s="6">
        <v>5600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Top="1" thickBot="1" x14ac:dyDescent="0.25">
      <c r="A191" s="38" t="s">
        <v>419</v>
      </c>
      <c r="B191" s="39" t="s">
        <v>331</v>
      </c>
      <c r="C191" s="40">
        <v>18</v>
      </c>
      <c r="D191" s="156" t="s">
        <v>431</v>
      </c>
      <c r="E191" s="51">
        <v>5000</v>
      </c>
      <c r="F191" s="41">
        <f>F176+F182+SUM(F187:F190)</f>
        <v>0</v>
      </c>
      <c r="G191" s="41">
        <f>G182+SUM(G187:G190)</f>
        <v>4306</v>
      </c>
      <c r="H191" s="41">
        <f>+H182+SUM(H187:H190)</f>
        <v>0</v>
      </c>
      <c r="I191" s="41">
        <f>I176+I182+SUM(I187:I190)</f>
        <v>0</v>
      </c>
      <c r="J191" s="41">
        <f>J182</f>
        <v>501328.04</v>
      </c>
      <c r="K191" s="45" t="s">
        <v>289</v>
      </c>
      <c r="L191" s="45" t="s">
        <v>289</v>
      </c>
      <c r="M191" s="8"/>
      <c r="N191" s="272"/>
    </row>
    <row r="192" spans="1:14" s="3" customFormat="1" ht="12" customHeight="1" thickTop="1" x14ac:dyDescent="0.2">
      <c r="A192" s="46" t="s">
        <v>458</v>
      </c>
      <c r="B192" s="39" t="s">
        <v>331</v>
      </c>
      <c r="C192" s="40">
        <v>19</v>
      </c>
      <c r="D192" s="157" t="s">
        <v>431</v>
      </c>
      <c r="E192" s="44"/>
      <c r="F192" s="47">
        <f>F111+F139+F168+F191</f>
        <v>17909583.780000001</v>
      </c>
      <c r="G192" s="47">
        <f>G111+G139+G168+G191</f>
        <v>520555.77</v>
      </c>
      <c r="H192" s="47">
        <f>H111+H139+H168+H191</f>
        <v>1049635.0799999998</v>
      </c>
      <c r="I192" s="47">
        <f>I111+I139+I168+I191</f>
        <v>0</v>
      </c>
      <c r="J192" s="47">
        <f>J111+J139+J191</f>
        <v>512894.57999999996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x14ac:dyDescent="0.15">
      <c r="A193" s="55" t="s">
        <v>466</v>
      </c>
      <c r="B193" s="36"/>
      <c r="C193" s="58"/>
      <c r="D193" s="58"/>
      <c r="E193" s="58"/>
      <c r="F193" s="177" t="s">
        <v>693</v>
      </c>
      <c r="G193" s="177" t="s">
        <v>694</v>
      </c>
      <c r="H193" s="177" t="s">
        <v>695</v>
      </c>
      <c r="I193" s="177" t="s">
        <v>696</v>
      </c>
      <c r="J193" s="177" t="s">
        <v>697</v>
      </c>
      <c r="K193" s="177" t="s">
        <v>698</v>
      </c>
      <c r="L193" s="56"/>
      <c r="M193" s="8"/>
      <c r="N193" s="272"/>
    </row>
    <row r="194" spans="1:14" s="3" customFormat="1" ht="12" customHeight="1" x14ac:dyDescent="0.15">
      <c r="A194" s="29" t="s">
        <v>452</v>
      </c>
      <c r="F194" s="103" t="s">
        <v>54</v>
      </c>
      <c r="G194" s="103" t="s">
        <v>55</v>
      </c>
      <c r="H194" s="103" t="s">
        <v>56</v>
      </c>
      <c r="I194" s="103" t="s">
        <v>57</v>
      </c>
      <c r="J194" s="103" t="s">
        <v>58</v>
      </c>
      <c r="K194" s="103" t="s">
        <v>59</v>
      </c>
      <c r="L194" s="103" t="s">
        <v>5</v>
      </c>
      <c r="M194" s="8"/>
      <c r="N194" s="272"/>
    </row>
    <row r="195" spans="1:14" s="3" customFormat="1" ht="12" customHeight="1" x14ac:dyDescent="0.15">
      <c r="A195" s="30" t="s">
        <v>534</v>
      </c>
      <c r="F195" s="24" t="s">
        <v>289</v>
      </c>
      <c r="G195" s="24" t="s">
        <v>289</v>
      </c>
      <c r="H195" s="24" t="s">
        <v>289</v>
      </c>
      <c r="I195" s="24" t="s">
        <v>289</v>
      </c>
      <c r="J195" s="24" t="s">
        <v>289</v>
      </c>
      <c r="K195" s="24" t="s">
        <v>289</v>
      </c>
      <c r="L195" s="24" t="s">
        <v>289</v>
      </c>
      <c r="M195" s="8"/>
      <c r="N195" s="272"/>
    </row>
    <row r="196" spans="1:14" s="3" customFormat="1" ht="12" customHeight="1" x14ac:dyDescent="0.15">
      <c r="A196" s="1" t="s">
        <v>439</v>
      </c>
      <c r="B196" s="2" t="s">
        <v>342</v>
      </c>
      <c r="C196" s="2" t="s">
        <v>291</v>
      </c>
      <c r="D196" s="2" t="s">
        <v>432</v>
      </c>
      <c r="E196" s="6">
        <v>1100</v>
      </c>
      <c r="F196" s="18">
        <v>2630601.96</v>
      </c>
      <c r="G196" s="18">
        <v>1389001.67</v>
      </c>
      <c r="H196" s="18">
        <v>39458.78</v>
      </c>
      <c r="I196" s="18">
        <v>165756</v>
      </c>
      <c r="J196" s="18">
        <v>119949.26</v>
      </c>
      <c r="K196" s="18">
        <v>17010.36</v>
      </c>
      <c r="L196" s="19">
        <f>SUM(F196:K196)</f>
        <v>4361778.03</v>
      </c>
      <c r="M196" s="8"/>
      <c r="N196" s="272"/>
    </row>
    <row r="197" spans="1:14" s="3" customFormat="1" ht="12" customHeight="1" x14ac:dyDescent="0.15">
      <c r="A197" s="1" t="s">
        <v>440</v>
      </c>
      <c r="B197" s="2" t="s">
        <v>342</v>
      </c>
      <c r="C197" s="2" t="s">
        <v>292</v>
      </c>
      <c r="D197" s="2" t="s">
        <v>432</v>
      </c>
      <c r="E197" s="6">
        <v>1200</v>
      </c>
      <c r="F197" s="18">
        <v>929710.55</v>
      </c>
      <c r="G197" s="18">
        <v>466367.99</v>
      </c>
      <c r="H197" s="18">
        <v>104232.59</v>
      </c>
      <c r="I197" s="18">
        <v>12035.34</v>
      </c>
      <c r="J197" s="18">
        <v>618.78</v>
      </c>
      <c r="K197" s="18">
        <v>125</v>
      </c>
      <c r="L197" s="19">
        <f>SUM(F197:K197)</f>
        <v>1513090.2500000002</v>
      </c>
      <c r="M197" s="8"/>
      <c r="N197" s="272"/>
    </row>
    <row r="198" spans="1:14" s="3" customFormat="1" ht="12" customHeight="1" x14ac:dyDescent="0.15">
      <c r="A198" s="1" t="s">
        <v>441</v>
      </c>
      <c r="B198" s="2" t="s">
        <v>342</v>
      </c>
      <c r="C198" s="2" t="s">
        <v>293</v>
      </c>
      <c r="D198" s="2" t="s">
        <v>432</v>
      </c>
      <c r="E198" s="6">
        <v>1300</v>
      </c>
      <c r="F198" s="18"/>
      <c r="G198" s="18"/>
      <c r="H198" s="18"/>
      <c r="I198" s="18"/>
      <c r="J198" s="18"/>
      <c r="K198" s="18"/>
      <c r="L198" s="19">
        <f>SUM(F198:K198)</f>
        <v>0</v>
      </c>
      <c r="M198" s="8"/>
      <c r="N198" s="272"/>
    </row>
    <row r="199" spans="1:14" s="3" customFormat="1" ht="12" customHeight="1" x14ac:dyDescent="0.15">
      <c r="A199" s="1" t="s">
        <v>442</v>
      </c>
      <c r="B199" s="2" t="s">
        <v>342</v>
      </c>
      <c r="C199" s="2" t="s">
        <v>294</v>
      </c>
      <c r="D199" s="2" t="s">
        <v>432</v>
      </c>
      <c r="E199" s="6">
        <v>1400</v>
      </c>
      <c r="F199" s="18">
        <v>103999.44</v>
      </c>
      <c r="G199" s="18">
        <v>14704.41</v>
      </c>
      <c r="H199" s="18">
        <v>9499.44</v>
      </c>
      <c r="I199" s="18">
        <v>18985.400000000001</v>
      </c>
      <c r="J199" s="18">
        <v>3698.27</v>
      </c>
      <c r="K199" s="18">
        <v>2074.64</v>
      </c>
      <c r="L199" s="19">
        <f>SUM(F199:K199)</f>
        <v>152961.60000000001</v>
      </c>
      <c r="M199" s="8"/>
      <c r="N199" s="272"/>
    </row>
    <row r="200" spans="1:14" s="3" customFormat="1" ht="12" customHeight="1" x14ac:dyDescent="0.15">
      <c r="A200" s="30" t="s">
        <v>343</v>
      </c>
      <c r="E200" s="6"/>
      <c r="F200" s="24" t="s">
        <v>289</v>
      </c>
      <c r="G200" s="24" t="s">
        <v>289</v>
      </c>
      <c r="H200" s="24" t="s">
        <v>289</v>
      </c>
      <c r="I200" s="24" t="s">
        <v>289</v>
      </c>
      <c r="J200" s="24" t="s">
        <v>289</v>
      </c>
      <c r="K200" s="24" t="s">
        <v>289</v>
      </c>
      <c r="L200" s="24" t="s">
        <v>289</v>
      </c>
      <c r="M200" s="8"/>
      <c r="N200" s="272"/>
    </row>
    <row r="201" spans="1:14" s="3" customFormat="1" ht="12" customHeight="1" x14ac:dyDescent="0.15">
      <c r="A201" s="1" t="s">
        <v>443</v>
      </c>
      <c r="B201" s="2" t="s">
        <v>342</v>
      </c>
      <c r="C201" s="2" t="s">
        <v>295</v>
      </c>
      <c r="D201" s="2" t="s">
        <v>432</v>
      </c>
      <c r="E201" s="6">
        <v>2100</v>
      </c>
      <c r="F201" s="18">
        <v>596601.32999999996</v>
      </c>
      <c r="G201" s="18">
        <v>279837.28000000003</v>
      </c>
      <c r="H201" s="18">
        <v>10089.209999999999</v>
      </c>
      <c r="I201" s="18">
        <v>10377.68</v>
      </c>
      <c r="J201" s="18">
        <v>1364</v>
      </c>
      <c r="K201" s="18">
        <v>155</v>
      </c>
      <c r="L201" s="19">
        <f t="shared" ref="L201:L207" si="0">SUM(F201:K201)</f>
        <v>898424.5</v>
      </c>
      <c r="M201" s="8"/>
      <c r="N201" s="272"/>
    </row>
    <row r="202" spans="1:14" s="3" customFormat="1" ht="12" customHeight="1" x14ac:dyDescent="0.15">
      <c r="A202" s="1" t="s">
        <v>444</v>
      </c>
      <c r="B202" s="2" t="s">
        <v>342</v>
      </c>
      <c r="C202" s="2" t="s">
        <v>296</v>
      </c>
      <c r="D202" s="2" t="s">
        <v>432</v>
      </c>
      <c r="E202" s="6">
        <v>2200</v>
      </c>
      <c r="F202" s="18">
        <v>138471.4</v>
      </c>
      <c r="G202" s="18">
        <v>93148.87</v>
      </c>
      <c r="H202" s="18">
        <v>57642.46</v>
      </c>
      <c r="I202" s="18">
        <v>30447.74</v>
      </c>
      <c r="J202" s="18">
        <v>125.68</v>
      </c>
      <c r="K202" s="18">
        <v>1236.1500000000001</v>
      </c>
      <c r="L202" s="19">
        <f t="shared" si="0"/>
        <v>321072.3</v>
      </c>
      <c r="M202" s="8"/>
      <c r="N202" s="272"/>
    </row>
    <row r="203" spans="1:14" s="3" customFormat="1" ht="12" customHeight="1" x14ac:dyDescent="0.15">
      <c r="A203" s="1" t="s">
        <v>445</v>
      </c>
      <c r="B203" s="2" t="s">
        <v>342</v>
      </c>
      <c r="C203" s="2" t="s">
        <v>297</v>
      </c>
      <c r="D203" s="2" t="s">
        <v>432</v>
      </c>
      <c r="E203" s="6">
        <v>2300</v>
      </c>
      <c r="F203" s="18">
        <v>280764.68</v>
      </c>
      <c r="G203" s="18">
        <v>91563.51</v>
      </c>
      <c r="H203" s="18">
        <v>92544.83</v>
      </c>
      <c r="I203" s="18">
        <v>77967.7</v>
      </c>
      <c r="J203" s="18">
        <v>4322.8500000000004</v>
      </c>
      <c r="K203" s="18">
        <v>22432</v>
      </c>
      <c r="L203" s="19">
        <f t="shared" si="0"/>
        <v>569595.56999999995</v>
      </c>
      <c r="M203" s="8"/>
      <c r="N203" s="272"/>
    </row>
    <row r="204" spans="1:14" s="3" customFormat="1" ht="12" customHeight="1" x14ac:dyDescent="0.15">
      <c r="A204" s="1" t="s">
        <v>446</v>
      </c>
      <c r="B204" s="2" t="s">
        <v>342</v>
      </c>
      <c r="C204" s="2" t="s">
        <v>298</v>
      </c>
      <c r="D204" s="2" t="s">
        <v>432</v>
      </c>
      <c r="E204" s="6">
        <v>2400</v>
      </c>
      <c r="F204" s="18">
        <v>482275.74</v>
      </c>
      <c r="G204" s="18">
        <v>225427.81</v>
      </c>
      <c r="H204" s="18">
        <v>46663.28</v>
      </c>
      <c r="I204" s="18">
        <v>5247.39</v>
      </c>
      <c r="J204" s="18">
        <v>12308.46</v>
      </c>
      <c r="K204" s="18">
        <v>15149.2</v>
      </c>
      <c r="L204" s="19">
        <f t="shared" si="0"/>
        <v>787071.88</v>
      </c>
      <c r="M204" s="8"/>
      <c r="N204" s="272"/>
    </row>
    <row r="205" spans="1:14" s="3" customFormat="1" ht="12" customHeight="1" x14ac:dyDescent="0.15">
      <c r="A205" s="1" t="s">
        <v>447</v>
      </c>
      <c r="B205" s="2" t="s">
        <v>342</v>
      </c>
      <c r="C205" s="2" t="s">
        <v>299</v>
      </c>
      <c r="D205" s="2" t="s">
        <v>432</v>
      </c>
      <c r="E205" s="6">
        <v>2500</v>
      </c>
      <c r="F205" s="18">
        <v>86335.46</v>
      </c>
      <c r="G205" s="18">
        <v>54743.839999999997</v>
      </c>
      <c r="H205" s="18">
        <v>5580.72</v>
      </c>
      <c r="I205" s="18">
        <v>0</v>
      </c>
      <c r="J205" s="18">
        <v>0</v>
      </c>
      <c r="K205" s="18">
        <v>0</v>
      </c>
      <c r="L205" s="19">
        <f t="shared" si="0"/>
        <v>146660.01999999999</v>
      </c>
      <c r="M205" s="8"/>
      <c r="N205" s="272"/>
    </row>
    <row r="206" spans="1:14" s="3" customFormat="1" ht="12" customHeight="1" x14ac:dyDescent="0.15">
      <c r="A206" s="1" t="s">
        <v>448</v>
      </c>
      <c r="B206" s="2" t="s">
        <v>342</v>
      </c>
      <c r="C206" s="2" t="s">
        <v>300</v>
      </c>
      <c r="D206" s="2" t="s">
        <v>432</v>
      </c>
      <c r="E206" s="6">
        <v>2600</v>
      </c>
      <c r="F206" s="18">
        <v>351759.09</v>
      </c>
      <c r="G206" s="18">
        <v>156244.82</v>
      </c>
      <c r="H206" s="18">
        <v>359864.68</v>
      </c>
      <c r="I206" s="18">
        <v>314353.89</v>
      </c>
      <c r="J206" s="18">
        <v>20805.150000000001</v>
      </c>
      <c r="K206" s="18"/>
      <c r="L206" s="19">
        <f t="shared" si="0"/>
        <v>1203027.6299999999</v>
      </c>
      <c r="M206" s="8"/>
      <c r="N206" s="272"/>
    </row>
    <row r="207" spans="1:14" s="3" customFormat="1" ht="12" customHeight="1" x14ac:dyDescent="0.15">
      <c r="A207" s="1" t="s">
        <v>449</v>
      </c>
      <c r="B207" s="2" t="s">
        <v>342</v>
      </c>
      <c r="C207" s="2" t="s">
        <v>301</v>
      </c>
      <c r="D207" s="2" t="s">
        <v>432</v>
      </c>
      <c r="E207" s="6">
        <v>2700</v>
      </c>
      <c r="F207" s="18">
        <v>13465.46</v>
      </c>
      <c r="G207" s="18">
        <v>7256.34</v>
      </c>
      <c r="H207" s="18">
        <v>592763.14</v>
      </c>
      <c r="I207" s="18">
        <v>3825.85</v>
      </c>
      <c r="J207" s="18"/>
      <c r="K207" s="18"/>
      <c r="L207" s="19">
        <f t="shared" si="0"/>
        <v>617310.79</v>
      </c>
      <c r="M207" s="8"/>
      <c r="N207" s="272"/>
    </row>
    <row r="208" spans="1:14" s="3" customFormat="1" ht="12" customHeight="1" x14ac:dyDescent="0.15">
      <c r="A208" s="1" t="s">
        <v>450</v>
      </c>
      <c r="B208" s="2" t="s">
        <v>342</v>
      </c>
      <c r="C208" s="2" t="s">
        <v>344</v>
      </c>
      <c r="D208" s="2" t="s">
        <v>432</v>
      </c>
      <c r="E208" s="6">
        <v>2800</v>
      </c>
      <c r="F208" s="18"/>
      <c r="G208" s="18"/>
      <c r="H208" s="18"/>
      <c r="I208" s="18"/>
      <c r="J208" s="18"/>
      <c r="K208" s="18"/>
      <c r="L208" s="19">
        <f>SUM(F208:K208)</f>
        <v>0</v>
      </c>
      <c r="M208" s="8"/>
      <c r="N208" s="272"/>
    </row>
    <row r="209" spans="1:14" s="3" customFormat="1" ht="12" customHeight="1" thickBot="1" x14ac:dyDescent="0.2">
      <c r="A209" s="1" t="s">
        <v>451</v>
      </c>
      <c r="B209" s="2" t="s">
        <v>342</v>
      </c>
      <c r="C209" s="2" t="s">
        <v>345</v>
      </c>
      <c r="D209" s="2" t="s">
        <v>432</v>
      </c>
      <c r="E209" s="6">
        <v>2900</v>
      </c>
      <c r="F209" s="24" t="s">
        <v>289</v>
      </c>
      <c r="G209" s="24" t="s">
        <v>289</v>
      </c>
      <c r="H209" s="24" t="s">
        <v>289</v>
      </c>
      <c r="I209" s="24" t="s">
        <v>289</v>
      </c>
      <c r="J209" s="24" t="s">
        <v>289</v>
      </c>
      <c r="K209" s="24" t="s">
        <v>289</v>
      </c>
      <c r="L209" s="24" t="s">
        <v>289</v>
      </c>
      <c r="M209" s="8"/>
      <c r="N209" s="272"/>
    </row>
    <row r="210" spans="1:14" s="3" customFormat="1" ht="12" customHeight="1" thickTop="1" x14ac:dyDescent="0.15">
      <c r="A210" s="38" t="s">
        <v>420</v>
      </c>
      <c r="B210" s="39" t="s">
        <v>342</v>
      </c>
      <c r="C210" s="39" t="s">
        <v>346</v>
      </c>
      <c r="D210" s="39" t="s">
        <v>432</v>
      </c>
      <c r="E210" s="39"/>
      <c r="F210" s="41">
        <f t="shared" ref="F210:L210" si="1">SUM(F196:F209)</f>
        <v>5613985.1099999994</v>
      </c>
      <c r="G210" s="41">
        <f t="shared" si="1"/>
        <v>2778296.5399999991</v>
      </c>
      <c r="H210" s="41">
        <f t="shared" si="1"/>
        <v>1318339.1299999999</v>
      </c>
      <c r="I210" s="41">
        <f t="shared" si="1"/>
        <v>638996.99</v>
      </c>
      <c r="J210" s="41">
        <f t="shared" si="1"/>
        <v>163192.44999999998</v>
      </c>
      <c r="K210" s="41">
        <f t="shared" si="1"/>
        <v>58182.350000000006</v>
      </c>
      <c r="L210" s="41">
        <f t="shared" si="1"/>
        <v>10570992.57</v>
      </c>
      <c r="M210" s="8"/>
      <c r="N210" s="272"/>
    </row>
    <row r="211" spans="1:14" s="3" customFormat="1" ht="12" customHeight="1" x14ac:dyDescent="0.15">
      <c r="A211" s="55" t="s">
        <v>466</v>
      </c>
      <c r="B211" s="36"/>
      <c r="C211" s="36"/>
      <c r="D211" s="36"/>
      <c r="E211" s="36"/>
      <c r="F211" s="177" t="s">
        <v>693</v>
      </c>
      <c r="G211" s="177" t="s">
        <v>694</v>
      </c>
      <c r="H211" s="177" t="s">
        <v>695</v>
      </c>
      <c r="I211" s="177" t="s">
        <v>696</v>
      </c>
      <c r="J211" s="177" t="s">
        <v>697</v>
      </c>
      <c r="K211" s="177" t="s">
        <v>698</v>
      </c>
      <c r="L211" s="67"/>
      <c r="M211" s="8"/>
      <c r="N211" s="272"/>
    </row>
    <row r="212" spans="1:14" s="3" customFormat="1" ht="12" customHeight="1" x14ac:dyDescent="0.15">
      <c r="A212" s="29" t="s">
        <v>453</v>
      </c>
      <c r="B212" s="7"/>
      <c r="C212" s="7"/>
      <c r="D212" s="7"/>
      <c r="E212" s="7"/>
      <c r="F212" s="103" t="s">
        <v>54</v>
      </c>
      <c r="G212" s="103" t="s">
        <v>55</v>
      </c>
      <c r="H212" s="103" t="s">
        <v>56</v>
      </c>
      <c r="I212" s="103" t="s">
        <v>57</v>
      </c>
      <c r="J212" s="103" t="s">
        <v>58</v>
      </c>
      <c r="K212" s="103" t="s">
        <v>59</v>
      </c>
      <c r="L212" s="103" t="s">
        <v>5</v>
      </c>
      <c r="M212" s="8"/>
      <c r="N212" s="272"/>
    </row>
    <row r="213" spans="1:14" s="3" customFormat="1" ht="12" customHeight="1" x14ac:dyDescent="0.15">
      <c r="A213" s="30" t="s">
        <v>534</v>
      </c>
      <c r="F213" s="24" t="s">
        <v>289</v>
      </c>
      <c r="G213" s="24" t="s">
        <v>289</v>
      </c>
      <c r="H213" s="24" t="s">
        <v>289</v>
      </c>
      <c r="I213" s="24" t="s">
        <v>289</v>
      </c>
      <c r="J213" s="24" t="s">
        <v>289</v>
      </c>
      <c r="K213" s="24" t="s">
        <v>289</v>
      </c>
      <c r="L213" s="24" t="s">
        <v>289</v>
      </c>
      <c r="M213" s="8"/>
      <c r="N213" s="272"/>
    </row>
    <row r="214" spans="1:14" s="3" customFormat="1" ht="12" customHeight="1" x14ac:dyDescent="0.15">
      <c r="A214" s="1" t="s">
        <v>439</v>
      </c>
      <c r="B214" s="2" t="s">
        <v>347</v>
      </c>
      <c r="C214" s="2" t="s">
        <v>291</v>
      </c>
      <c r="D214" s="2" t="s">
        <v>432</v>
      </c>
      <c r="E214" s="6">
        <v>1100</v>
      </c>
      <c r="F214" s="18"/>
      <c r="G214" s="18"/>
      <c r="H214" s="18"/>
      <c r="I214" s="18"/>
      <c r="J214" s="18"/>
      <c r="K214" s="18"/>
      <c r="L214" s="19">
        <f>SUM(F214:K214)</f>
        <v>0</v>
      </c>
      <c r="M214" s="8"/>
      <c r="N214" s="272"/>
    </row>
    <row r="215" spans="1:14" s="3" customFormat="1" ht="12" customHeight="1" x14ac:dyDescent="0.15">
      <c r="A215" s="1" t="s">
        <v>440</v>
      </c>
      <c r="B215" s="2" t="s">
        <v>347</v>
      </c>
      <c r="C215" s="2" t="s">
        <v>292</v>
      </c>
      <c r="D215" s="2" t="s">
        <v>432</v>
      </c>
      <c r="E215" s="6">
        <v>1200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  <c r="N215" s="272"/>
    </row>
    <row r="216" spans="1:14" s="3" customFormat="1" ht="12" customHeight="1" x14ac:dyDescent="0.15">
      <c r="A216" s="1" t="s">
        <v>441</v>
      </c>
      <c r="B216" s="2" t="s">
        <v>347</v>
      </c>
      <c r="C216" s="2" t="s">
        <v>293</v>
      </c>
      <c r="D216" s="2" t="s">
        <v>432</v>
      </c>
      <c r="E216" s="6">
        <v>1300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" customHeight="1" x14ac:dyDescent="0.15">
      <c r="A217" s="1" t="s">
        <v>442</v>
      </c>
      <c r="B217" s="2" t="s">
        <v>347</v>
      </c>
      <c r="C217" s="2" t="s">
        <v>294</v>
      </c>
      <c r="D217" s="2" t="s">
        <v>432</v>
      </c>
      <c r="E217" s="6">
        <v>1400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30" t="s">
        <v>343</v>
      </c>
      <c r="B218" s="1" t="s">
        <v>302</v>
      </c>
      <c r="E218" s="6"/>
      <c r="F218" s="24" t="s">
        <v>289</v>
      </c>
      <c r="G218" s="24" t="s">
        <v>289</v>
      </c>
      <c r="H218" s="24" t="s">
        <v>289</v>
      </c>
      <c r="I218" s="24" t="s">
        <v>289</v>
      </c>
      <c r="J218" s="24" t="s">
        <v>289</v>
      </c>
      <c r="K218" s="24" t="s">
        <v>289</v>
      </c>
      <c r="L218" s="24" t="s">
        <v>289</v>
      </c>
      <c r="M218" s="8"/>
      <c r="N218" s="272"/>
    </row>
    <row r="219" spans="1:14" s="3" customFormat="1" ht="12" customHeight="1" x14ac:dyDescent="0.15">
      <c r="A219" s="1" t="s">
        <v>443</v>
      </c>
      <c r="B219" s="2" t="s">
        <v>347</v>
      </c>
      <c r="C219" s="2" t="s">
        <v>295</v>
      </c>
      <c r="D219" s="2" t="s">
        <v>432</v>
      </c>
      <c r="E219" s="6">
        <v>2100</v>
      </c>
      <c r="F219" s="18"/>
      <c r="G219" s="18"/>
      <c r="H219" s="18"/>
      <c r="I219" s="18"/>
      <c r="J219" s="18"/>
      <c r="K219" s="18"/>
      <c r="L219" s="19">
        <f t="shared" ref="L219:L225" si="2">SUM(F219:K219)</f>
        <v>0</v>
      </c>
      <c r="M219" s="8"/>
      <c r="N219" s="272"/>
    </row>
    <row r="220" spans="1:14" s="3" customFormat="1" ht="12" customHeight="1" x14ac:dyDescent="0.15">
      <c r="A220" s="1" t="s">
        <v>444</v>
      </c>
      <c r="B220" s="2" t="s">
        <v>347</v>
      </c>
      <c r="C220" s="2" t="s">
        <v>296</v>
      </c>
      <c r="D220" s="2" t="s">
        <v>432</v>
      </c>
      <c r="E220" s="6">
        <v>2200</v>
      </c>
      <c r="F220" s="18"/>
      <c r="G220" s="18"/>
      <c r="H220" s="18"/>
      <c r="I220" s="18"/>
      <c r="J220" s="18"/>
      <c r="K220" s="18"/>
      <c r="L220" s="19">
        <f t="shared" si="2"/>
        <v>0</v>
      </c>
      <c r="M220" s="8"/>
      <c r="N220" s="272"/>
    </row>
    <row r="221" spans="1:14" s="3" customFormat="1" ht="12" customHeight="1" x14ac:dyDescent="0.15">
      <c r="A221" s="1" t="s">
        <v>445</v>
      </c>
      <c r="B221" s="2" t="s">
        <v>347</v>
      </c>
      <c r="C221" s="2" t="s">
        <v>297</v>
      </c>
      <c r="D221" s="2" t="s">
        <v>432</v>
      </c>
      <c r="E221" s="6">
        <v>2300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" customHeight="1" x14ac:dyDescent="0.15">
      <c r="A222" s="1" t="s">
        <v>446</v>
      </c>
      <c r="B222" s="2" t="s">
        <v>347</v>
      </c>
      <c r="C222" s="2" t="s">
        <v>298</v>
      </c>
      <c r="D222" s="2" t="s">
        <v>432</v>
      </c>
      <c r="E222" s="6">
        <v>2400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" customHeight="1" x14ac:dyDescent="0.15">
      <c r="A223" s="1" t="s">
        <v>447</v>
      </c>
      <c r="B223" s="2" t="s">
        <v>347</v>
      </c>
      <c r="C223" s="2" t="s">
        <v>299</v>
      </c>
      <c r="D223" s="2" t="s">
        <v>432</v>
      </c>
      <c r="E223" s="6">
        <v>2500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448</v>
      </c>
      <c r="B224" s="2" t="s">
        <v>347</v>
      </c>
      <c r="C224" s="2" t="s">
        <v>300</v>
      </c>
      <c r="D224" s="2" t="s">
        <v>432</v>
      </c>
      <c r="E224" s="6">
        <v>2600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449</v>
      </c>
      <c r="B225" s="2" t="s">
        <v>347</v>
      </c>
      <c r="C225" s="2" t="s">
        <v>301</v>
      </c>
      <c r="D225" s="2" t="s">
        <v>432</v>
      </c>
      <c r="E225" s="6">
        <v>2700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" customHeight="1" x14ac:dyDescent="0.15">
      <c r="A226" s="1" t="s">
        <v>450</v>
      </c>
      <c r="B226" s="2" t="s">
        <v>347</v>
      </c>
      <c r="C226" s="2" t="s">
        <v>344</v>
      </c>
      <c r="D226" s="2" t="s">
        <v>432</v>
      </c>
      <c r="E226" s="6">
        <v>2800</v>
      </c>
      <c r="F226" s="18"/>
      <c r="G226" s="18"/>
      <c r="H226" s="18"/>
      <c r="I226" s="18"/>
      <c r="J226" s="18"/>
      <c r="K226" s="18"/>
      <c r="L226" s="19">
        <f>SUM(F226:K226)</f>
        <v>0</v>
      </c>
      <c r="M226" s="8"/>
      <c r="N226" s="272"/>
    </row>
    <row r="227" spans="1:14" s="3" customFormat="1" ht="12" customHeight="1" thickBot="1" x14ac:dyDescent="0.2">
      <c r="A227" s="1" t="s">
        <v>451</v>
      </c>
      <c r="B227" s="2" t="s">
        <v>347</v>
      </c>
      <c r="C227" s="2" t="s">
        <v>345</v>
      </c>
      <c r="D227" s="2" t="s">
        <v>432</v>
      </c>
      <c r="E227" s="6">
        <v>2900</v>
      </c>
      <c r="F227" s="24" t="s">
        <v>289</v>
      </c>
      <c r="G227" s="24" t="s">
        <v>289</v>
      </c>
      <c r="H227" s="24" t="s">
        <v>289</v>
      </c>
      <c r="I227" s="24" t="s">
        <v>289</v>
      </c>
      <c r="J227" s="24" t="s">
        <v>289</v>
      </c>
      <c r="K227" s="24" t="s">
        <v>289</v>
      </c>
      <c r="L227" s="24" t="s">
        <v>289</v>
      </c>
      <c r="M227" s="8"/>
      <c r="N227" s="272"/>
    </row>
    <row r="228" spans="1:14" s="3" customFormat="1" ht="12" customHeight="1" thickTop="1" x14ac:dyDescent="0.15">
      <c r="A228" s="38" t="s">
        <v>460</v>
      </c>
      <c r="B228" s="39" t="s">
        <v>347</v>
      </c>
      <c r="C228" s="39" t="s">
        <v>346</v>
      </c>
      <c r="D228" s="39" t="s">
        <v>432</v>
      </c>
      <c r="E228" s="44"/>
      <c r="F228" s="41">
        <f t="shared" ref="F228:L228" si="3">SUM(F214:F227)</f>
        <v>0</v>
      </c>
      <c r="G228" s="41">
        <f>SUM(G214:G227)</f>
        <v>0</v>
      </c>
      <c r="H228" s="41">
        <f>SUM(H214:H227)</f>
        <v>0</v>
      </c>
      <c r="I228" s="41">
        <f>SUM(I214:I227)</f>
        <v>0</v>
      </c>
      <c r="J228" s="41">
        <f>SUM(J214:J227)</f>
        <v>0</v>
      </c>
      <c r="K228" s="41">
        <f t="shared" si="3"/>
        <v>0</v>
      </c>
      <c r="L228" s="41">
        <f t="shared" si="3"/>
        <v>0</v>
      </c>
      <c r="M228" s="8"/>
      <c r="N228" s="272"/>
    </row>
    <row r="229" spans="1:14" s="3" customFormat="1" ht="12" customHeight="1" x14ac:dyDescent="0.15">
      <c r="A229" s="55" t="s">
        <v>466</v>
      </c>
      <c r="B229" s="36"/>
      <c r="C229" s="75"/>
      <c r="D229" s="75"/>
      <c r="E229" s="75"/>
      <c r="F229" s="177" t="s">
        <v>693</v>
      </c>
      <c r="G229" s="177" t="s">
        <v>694</v>
      </c>
      <c r="H229" s="177" t="s">
        <v>695</v>
      </c>
      <c r="I229" s="177" t="s">
        <v>696</v>
      </c>
      <c r="J229" s="177" t="s">
        <v>697</v>
      </c>
      <c r="K229" s="177" t="s">
        <v>698</v>
      </c>
      <c r="L229" s="67"/>
      <c r="M229" s="8"/>
      <c r="N229" s="272"/>
    </row>
    <row r="230" spans="1:14" s="3" customFormat="1" ht="12" customHeight="1" x14ac:dyDescent="0.15">
      <c r="A230" s="29" t="s">
        <v>454</v>
      </c>
      <c r="F230" s="103" t="s">
        <v>54</v>
      </c>
      <c r="G230" s="103" t="s">
        <v>55</v>
      </c>
      <c r="H230" s="103" t="s">
        <v>56</v>
      </c>
      <c r="I230" s="103" t="s">
        <v>57</v>
      </c>
      <c r="J230" s="103" t="s">
        <v>58</v>
      </c>
      <c r="K230" s="103" t="s">
        <v>59</v>
      </c>
      <c r="L230" s="103" t="s">
        <v>5</v>
      </c>
      <c r="M230" s="8"/>
      <c r="N230" s="272"/>
    </row>
    <row r="231" spans="1:14" s="3" customFormat="1" ht="12" customHeight="1" x14ac:dyDescent="0.15">
      <c r="A231" s="30" t="s">
        <v>195</v>
      </c>
      <c r="F231" s="24" t="s">
        <v>289</v>
      </c>
      <c r="G231" s="24" t="s">
        <v>289</v>
      </c>
      <c r="H231" s="24" t="s">
        <v>289</v>
      </c>
      <c r="I231" s="24" t="s">
        <v>289</v>
      </c>
      <c r="J231" s="24" t="s">
        <v>289</v>
      </c>
      <c r="K231" s="24" t="s">
        <v>289</v>
      </c>
      <c r="L231" s="24" t="s">
        <v>289</v>
      </c>
      <c r="M231" s="8"/>
      <c r="N231" s="272"/>
    </row>
    <row r="232" spans="1:14" s="3" customFormat="1" ht="12" customHeight="1" x14ac:dyDescent="0.15">
      <c r="A232" s="1" t="s">
        <v>439</v>
      </c>
      <c r="B232" s="2" t="s">
        <v>351</v>
      </c>
      <c r="C232" s="2" t="s">
        <v>291</v>
      </c>
      <c r="D232" s="2" t="s">
        <v>432</v>
      </c>
      <c r="E232" s="6">
        <v>1100</v>
      </c>
      <c r="F232" s="18">
        <v>1245367.1000000001</v>
      </c>
      <c r="G232" s="18">
        <v>617401.12</v>
      </c>
      <c r="H232" s="18">
        <v>22073.01</v>
      </c>
      <c r="I232" s="18">
        <v>51194.48</v>
      </c>
      <c r="J232" s="18">
        <v>124411.51</v>
      </c>
      <c r="K232" s="18">
        <v>10477.969999999999</v>
      </c>
      <c r="L232" s="19">
        <f>SUM(F232:K232)</f>
        <v>2070925.1900000002</v>
      </c>
      <c r="M232" s="8"/>
      <c r="N232" s="272"/>
    </row>
    <row r="233" spans="1:14" s="3" customFormat="1" ht="12" customHeight="1" x14ac:dyDescent="0.15">
      <c r="A233" s="1" t="s">
        <v>440</v>
      </c>
      <c r="B233" s="2" t="s">
        <v>351</v>
      </c>
      <c r="C233" s="2" t="s">
        <v>292</v>
      </c>
      <c r="D233" s="2" t="s">
        <v>432</v>
      </c>
      <c r="E233" s="6">
        <v>1200</v>
      </c>
      <c r="F233" s="18">
        <v>375016.82</v>
      </c>
      <c r="G233" s="18">
        <v>201722.51</v>
      </c>
      <c r="H233" s="18">
        <v>149555.14000000001</v>
      </c>
      <c r="I233" s="18">
        <v>2204.36</v>
      </c>
      <c r="J233" s="18">
        <v>993.99</v>
      </c>
      <c r="K233" s="18">
        <v>0</v>
      </c>
      <c r="L233" s="19">
        <f>SUM(F233:K233)</f>
        <v>729492.82000000007</v>
      </c>
      <c r="M233" s="8"/>
      <c r="N233" s="272"/>
    </row>
    <row r="234" spans="1:14" s="3" customFormat="1" ht="12" customHeight="1" x14ac:dyDescent="0.15">
      <c r="A234" s="1" t="s">
        <v>441</v>
      </c>
      <c r="B234" s="2" t="s">
        <v>351</v>
      </c>
      <c r="C234" s="2" t="s">
        <v>293</v>
      </c>
      <c r="D234" s="2" t="s">
        <v>432</v>
      </c>
      <c r="E234" s="6">
        <v>1300</v>
      </c>
      <c r="F234" s="18">
        <v>285390.48</v>
      </c>
      <c r="G234" s="18">
        <v>151053.45000000001</v>
      </c>
      <c r="H234" s="18">
        <v>7154.78</v>
      </c>
      <c r="I234" s="18">
        <v>55956.1</v>
      </c>
      <c r="J234" s="18">
        <v>4845.28</v>
      </c>
      <c r="K234" s="18">
        <v>2187.9699999999998</v>
      </c>
      <c r="L234" s="19">
        <f>SUM(F234:K234)</f>
        <v>506588.06</v>
      </c>
      <c r="M234" s="8"/>
      <c r="N234" s="272"/>
    </row>
    <row r="235" spans="1:14" s="3" customFormat="1" ht="12" customHeight="1" x14ac:dyDescent="0.15">
      <c r="A235" s="1" t="s">
        <v>442</v>
      </c>
      <c r="B235" s="2" t="s">
        <v>351</v>
      </c>
      <c r="C235" s="2" t="s">
        <v>294</v>
      </c>
      <c r="D235" s="2" t="s">
        <v>432</v>
      </c>
      <c r="E235" s="6">
        <v>1400</v>
      </c>
      <c r="F235" s="18">
        <v>217581.92</v>
      </c>
      <c r="G235" s="18">
        <v>54356.98</v>
      </c>
      <c r="H235" s="18">
        <v>20923.400000000001</v>
      </c>
      <c r="I235" s="18">
        <v>19140.18</v>
      </c>
      <c r="J235" s="18">
        <v>14188.13</v>
      </c>
      <c r="K235" s="18">
        <v>12304.33</v>
      </c>
      <c r="L235" s="19">
        <f>SUM(F235:K235)</f>
        <v>338494.94000000006</v>
      </c>
      <c r="M235" s="8"/>
      <c r="N235" s="272"/>
    </row>
    <row r="236" spans="1:14" s="3" customFormat="1" ht="12" customHeight="1" x14ac:dyDescent="0.15">
      <c r="A236" s="30" t="s">
        <v>343</v>
      </c>
      <c r="C236" s="23"/>
      <c r="E236" s="6"/>
      <c r="F236" s="24" t="s">
        <v>289</v>
      </c>
      <c r="G236" s="24" t="s">
        <v>289</v>
      </c>
      <c r="H236" s="24" t="s">
        <v>289</v>
      </c>
      <c r="I236" s="24" t="s">
        <v>289</v>
      </c>
      <c r="J236" s="24" t="s">
        <v>289</v>
      </c>
      <c r="K236" s="24" t="s">
        <v>289</v>
      </c>
      <c r="L236" s="24" t="s">
        <v>289</v>
      </c>
      <c r="M236" s="8"/>
      <c r="N236" s="272"/>
    </row>
    <row r="237" spans="1:14" s="3" customFormat="1" ht="12" customHeight="1" x14ac:dyDescent="0.15">
      <c r="A237" s="1" t="s">
        <v>443</v>
      </c>
      <c r="B237" s="2" t="s">
        <v>351</v>
      </c>
      <c r="C237" s="2" t="s">
        <v>295</v>
      </c>
      <c r="D237" s="2" t="s">
        <v>432</v>
      </c>
      <c r="E237" s="6">
        <v>2100</v>
      </c>
      <c r="F237" s="18">
        <v>252340.56</v>
      </c>
      <c r="G237" s="18">
        <v>119249.08</v>
      </c>
      <c r="H237" s="18">
        <v>17304.79</v>
      </c>
      <c r="I237" s="18">
        <v>4313</v>
      </c>
      <c r="J237" s="18">
        <v>0</v>
      </c>
      <c r="K237" s="18">
        <v>230</v>
      </c>
      <c r="L237" s="19">
        <f t="shared" ref="L237:L243" si="4">SUM(F237:K237)</f>
        <v>393437.43</v>
      </c>
      <c r="M237" s="8"/>
      <c r="N237" s="272"/>
    </row>
    <row r="238" spans="1:14" s="3" customFormat="1" ht="12" customHeight="1" x14ac:dyDescent="0.15">
      <c r="A238" s="1" t="s">
        <v>444</v>
      </c>
      <c r="B238" s="2" t="s">
        <v>351</v>
      </c>
      <c r="C238" s="2" t="s">
        <v>296</v>
      </c>
      <c r="D238" s="2" t="s">
        <v>432</v>
      </c>
      <c r="E238" s="6">
        <v>2200</v>
      </c>
      <c r="F238" s="18">
        <v>82162.47</v>
      </c>
      <c r="G238" s="18">
        <v>63899.59</v>
      </c>
      <c r="H238" s="18">
        <v>37386.46</v>
      </c>
      <c r="I238" s="18">
        <v>13747.7</v>
      </c>
      <c r="J238" s="18">
        <v>0</v>
      </c>
      <c r="K238" s="18">
        <v>6458.85</v>
      </c>
      <c r="L238" s="19">
        <f t="shared" si="4"/>
        <v>203655.07</v>
      </c>
      <c r="M238" s="8"/>
      <c r="N238" s="272"/>
    </row>
    <row r="239" spans="1:14" s="3" customFormat="1" ht="12" customHeight="1" x14ac:dyDescent="0.15">
      <c r="A239" s="1" t="s">
        <v>445</v>
      </c>
      <c r="B239" s="2" t="s">
        <v>351</v>
      </c>
      <c r="C239" s="2" t="s">
        <v>297</v>
      </c>
      <c r="D239" s="2" t="s">
        <v>432</v>
      </c>
      <c r="E239" s="6">
        <v>2300</v>
      </c>
      <c r="F239" s="18">
        <v>270469.95</v>
      </c>
      <c r="G239" s="18">
        <v>106900.68</v>
      </c>
      <c r="H239" s="18">
        <v>77707.009999999995</v>
      </c>
      <c r="I239" s="18">
        <v>35865.599999999999</v>
      </c>
      <c r="J239" s="18">
        <v>2129.16</v>
      </c>
      <c r="K239" s="18">
        <v>12031.1</v>
      </c>
      <c r="L239" s="19">
        <f t="shared" si="4"/>
        <v>505103.49999999994</v>
      </c>
      <c r="M239" s="8"/>
      <c r="N239" s="272"/>
    </row>
    <row r="240" spans="1:14" s="3" customFormat="1" ht="12" customHeight="1" x14ac:dyDescent="0.15">
      <c r="A240" s="1" t="s">
        <v>446</v>
      </c>
      <c r="B240" s="2" t="s">
        <v>351</v>
      </c>
      <c r="C240" s="2" t="s">
        <v>298</v>
      </c>
      <c r="D240" s="2" t="s">
        <v>432</v>
      </c>
      <c r="E240" s="6">
        <v>2400</v>
      </c>
      <c r="F240" s="18">
        <v>196694.44</v>
      </c>
      <c r="G240" s="18">
        <v>98801</v>
      </c>
      <c r="H240" s="18">
        <v>30559.89</v>
      </c>
      <c r="I240" s="18">
        <v>14429.55</v>
      </c>
      <c r="J240" s="18">
        <v>17780.650000000001</v>
      </c>
      <c r="K240" s="18">
        <v>17874.55</v>
      </c>
      <c r="L240" s="19">
        <f t="shared" si="4"/>
        <v>376140.08</v>
      </c>
      <c r="M240" s="8"/>
      <c r="N240" s="272"/>
    </row>
    <row r="241" spans="1:14" s="3" customFormat="1" ht="12" customHeight="1" x14ac:dyDescent="0.15">
      <c r="A241" s="1" t="s">
        <v>447</v>
      </c>
      <c r="B241" s="2" t="s">
        <v>351</v>
      </c>
      <c r="C241" s="2" t="s">
        <v>299</v>
      </c>
      <c r="D241" s="2" t="s">
        <v>432</v>
      </c>
      <c r="E241" s="6">
        <v>2500</v>
      </c>
      <c r="F241" s="18">
        <v>42523.44</v>
      </c>
      <c r="G241" s="18">
        <v>26963.39</v>
      </c>
      <c r="H241" s="18">
        <v>2748.71</v>
      </c>
      <c r="I241" s="18">
        <v>0</v>
      </c>
      <c r="J241" s="18">
        <v>0</v>
      </c>
      <c r="K241" s="18"/>
      <c r="L241" s="19">
        <f t="shared" si="4"/>
        <v>72235.540000000008</v>
      </c>
      <c r="M241" s="8"/>
      <c r="N241" s="272"/>
    </row>
    <row r="242" spans="1:14" s="3" customFormat="1" ht="12" customHeight="1" x14ac:dyDescent="0.15">
      <c r="A242" s="1" t="s">
        <v>448</v>
      </c>
      <c r="B242" s="2" t="s">
        <v>351</v>
      </c>
      <c r="C242" s="2" t="s">
        <v>300</v>
      </c>
      <c r="D242" s="2" t="s">
        <v>432</v>
      </c>
      <c r="E242" s="6">
        <v>2600</v>
      </c>
      <c r="F242" s="18">
        <v>224463.23</v>
      </c>
      <c r="G242" s="18">
        <v>99167.56</v>
      </c>
      <c r="H242" s="18">
        <v>235959.49</v>
      </c>
      <c r="I242" s="18">
        <v>250877.92</v>
      </c>
      <c r="J242" s="18">
        <v>12574.63</v>
      </c>
      <c r="K242" s="18"/>
      <c r="L242" s="19">
        <f t="shared" si="4"/>
        <v>823042.83000000007</v>
      </c>
      <c r="M242" s="8"/>
      <c r="N242" s="272"/>
    </row>
    <row r="243" spans="1:14" s="3" customFormat="1" ht="12" customHeight="1" x14ac:dyDescent="0.15">
      <c r="A243" s="1" t="s">
        <v>449</v>
      </c>
      <c r="B243" s="2" t="s">
        <v>351</v>
      </c>
      <c r="C243" s="2" t="s">
        <v>301</v>
      </c>
      <c r="D243" s="2" t="s">
        <v>432</v>
      </c>
      <c r="E243" s="6">
        <v>2700</v>
      </c>
      <c r="F243" s="18">
        <v>6591.14</v>
      </c>
      <c r="G243" s="18">
        <v>3570.88</v>
      </c>
      <c r="H243" s="18">
        <v>408858.63</v>
      </c>
      <c r="I243" s="18">
        <v>1864.43</v>
      </c>
      <c r="J243" s="18"/>
      <c r="K243" s="18"/>
      <c r="L243" s="19">
        <f t="shared" si="4"/>
        <v>420885.08</v>
      </c>
      <c r="M243" s="8"/>
      <c r="N243" s="272"/>
    </row>
    <row r="244" spans="1:14" s="3" customFormat="1" ht="12" customHeight="1" x14ac:dyDescent="0.15">
      <c r="A244" s="1" t="s">
        <v>450</v>
      </c>
      <c r="B244" s="2" t="s">
        <v>351</v>
      </c>
      <c r="C244" s="2" t="s">
        <v>344</v>
      </c>
      <c r="D244" s="2" t="s">
        <v>432</v>
      </c>
      <c r="E244" s="6">
        <v>2800</v>
      </c>
      <c r="F244" s="18"/>
      <c r="G244" s="18"/>
      <c r="H244" s="18"/>
      <c r="I244" s="18"/>
      <c r="J244" s="18"/>
      <c r="K244" s="18"/>
      <c r="L244" s="19">
        <f>SUM(F244:K244)</f>
        <v>0</v>
      </c>
      <c r="M244" s="8"/>
      <c r="N244" s="272"/>
    </row>
    <row r="245" spans="1:14" s="3" customFormat="1" ht="12" customHeight="1" thickBot="1" x14ac:dyDescent="0.2">
      <c r="A245" s="1" t="s">
        <v>451</v>
      </c>
      <c r="B245" s="2" t="s">
        <v>351</v>
      </c>
      <c r="C245" s="2" t="s">
        <v>345</v>
      </c>
      <c r="D245" s="2" t="s">
        <v>432</v>
      </c>
      <c r="E245" s="6">
        <v>2900</v>
      </c>
      <c r="F245" s="24" t="s">
        <v>289</v>
      </c>
      <c r="G245" s="24" t="s">
        <v>289</v>
      </c>
      <c r="H245" s="24" t="s">
        <v>289</v>
      </c>
      <c r="I245" s="24" t="s">
        <v>289</v>
      </c>
      <c r="J245" s="24" t="s">
        <v>289</v>
      </c>
      <c r="K245" s="24" t="s">
        <v>289</v>
      </c>
      <c r="L245" s="24" t="s">
        <v>289</v>
      </c>
      <c r="M245" s="8"/>
      <c r="N245" s="272"/>
    </row>
    <row r="246" spans="1:14" s="3" customFormat="1" ht="12" customHeight="1" thickTop="1" x14ac:dyDescent="0.15">
      <c r="A246" s="38" t="s">
        <v>685</v>
      </c>
      <c r="B246" s="39" t="s">
        <v>351</v>
      </c>
      <c r="C246" s="40">
        <v>14</v>
      </c>
      <c r="D246" s="39" t="s">
        <v>432</v>
      </c>
      <c r="E246" s="40"/>
      <c r="F246" s="41">
        <f t="shared" ref="F246:L246" si="5">SUM(F232:F245)</f>
        <v>3198601.5500000007</v>
      </c>
      <c r="G246" s="41">
        <f t="shared" si="5"/>
        <v>1543086.24</v>
      </c>
      <c r="H246" s="41">
        <f t="shared" si="5"/>
        <v>1010231.31</v>
      </c>
      <c r="I246" s="41">
        <f t="shared" si="5"/>
        <v>449593.32</v>
      </c>
      <c r="J246" s="41">
        <f t="shared" si="5"/>
        <v>176923.35</v>
      </c>
      <c r="K246" s="41">
        <f t="shared" si="5"/>
        <v>61564.76999999999</v>
      </c>
      <c r="L246" s="41">
        <f t="shared" si="5"/>
        <v>6440000.540000001</v>
      </c>
      <c r="M246" s="8"/>
      <c r="N246" s="272"/>
    </row>
    <row r="247" spans="1:14" s="3" customFormat="1" ht="12" customHeight="1" x14ac:dyDescent="0.15">
      <c r="A247" s="70"/>
      <c r="B247" s="36"/>
      <c r="C247" s="37"/>
      <c r="D247" s="37"/>
      <c r="E247" s="37"/>
      <c r="F247" s="177" t="s">
        <v>693</v>
      </c>
      <c r="G247" s="177" t="s">
        <v>694</v>
      </c>
      <c r="H247" s="177" t="s">
        <v>695</v>
      </c>
      <c r="I247" s="177" t="s">
        <v>696</v>
      </c>
      <c r="J247" s="177" t="s">
        <v>697</v>
      </c>
      <c r="K247" s="177" t="s">
        <v>698</v>
      </c>
      <c r="L247" s="67"/>
      <c r="M247" s="8"/>
      <c r="N247" s="272"/>
    </row>
    <row r="248" spans="1:14" s="3" customFormat="1" ht="12" customHeight="1" x14ac:dyDescent="0.15">
      <c r="A248" s="29" t="s">
        <v>352</v>
      </c>
      <c r="B248" s="7"/>
      <c r="C248" s="7"/>
      <c r="D248" s="7"/>
      <c r="E248" s="7"/>
      <c r="F248" s="103" t="s">
        <v>54</v>
      </c>
      <c r="G248" s="103" t="s">
        <v>55</v>
      </c>
      <c r="H248" s="103" t="s">
        <v>56</v>
      </c>
      <c r="I248" s="103" t="s">
        <v>57</v>
      </c>
      <c r="J248" s="103" t="s">
        <v>58</v>
      </c>
      <c r="K248" s="103" t="s">
        <v>59</v>
      </c>
      <c r="L248" s="103" t="s">
        <v>5</v>
      </c>
      <c r="M248" s="8"/>
      <c r="N248" s="272"/>
    </row>
    <row r="249" spans="1:14" s="3" customFormat="1" ht="12" customHeight="1" x14ac:dyDescent="0.15">
      <c r="A249" s="1" t="s">
        <v>660</v>
      </c>
      <c r="B249" s="2" t="s">
        <v>353</v>
      </c>
      <c r="C249" s="2" t="s">
        <v>290</v>
      </c>
      <c r="D249" s="2" t="s">
        <v>432</v>
      </c>
      <c r="E249" s="6">
        <v>1500</v>
      </c>
      <c r="F249" s="18"/>
      <c r="G249" s="18"/>
      <c r="H249" s="18"/>
      <c r="I249" s="18"/>
      <c r="J249" s="18"/>
      <c r="K249" s="18"/>
      <c r="L249" s="19">
        <f t="shared" ref="L249:L254" si="6">SUM(F249:K249)</f>
        <v>0</v>
      </c>
      <c r="M249" s="8"/>
      <c r="N249" s="272"/>
    </row>
    <row r="250" spans="1:14" s="3" customFormat="1" ht="12" customHeight="1" x14ac:dyDescent="0.15">
      <c r="A250" s="1" t="s">
        <v>354</v>
      </c>
      <c r="B250" s="2" t="s">
        <v>353</v>
      </c>
      <c r="C250" s="2" t="s">
        <v>310</v>
      </c>
      <c r="D250" s="2" t="s">
        <v>432</v>
      </c>
      <c r="E250" s="6">
        <v>1600</v>
      </c>
      <c r="F250" s="18"/>
      <c r="G250" s="18"/>
      <c r="H250" s="18"/>
      <c r="I250" s="18"/>
      <c r="J250" s="18"/>
      <c r="K250" s="18"/>
      <c r="L250" s="19">
        <f t="shared" si="6"/>
        <v>0</v>
      </c>
      <c r="M250" s="8"/>
      <c r="N250" s="272"/>
    </row>
    <row r="251" spans="1:14" s="3" customFormat="1" ht="12" customHeight="1" x14ac:dyDescent="0.15">
      <c r="A251" s="1" t="s">
        <v>585</v>
      </c>
      <c r="B251" s="2" t="s">
        <v>353</v>
      </c>
      <c r="C251" s="2" t="s">
        <v>316</v>
      </c>
      <c r="D251" s="2" t="s">
        <v>432</v>
      </c>
      <c r="E251" s="6">
        <v>1700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586</v>
      </c>
      <c r="B252" s="2" t="s">
        <v>353</v>
      </c>
      <c r="C252" s="2" t="s">
        <v>322</v>
      </c>
      <c r="D252" s="2" t="s">
        <v>432</v>
      </c>
      <c r="E252" s="6">
        <v>1800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392</v>
      </c>
      <c r="B253" s="2" t="s">
        <v>353</v>
      </c>
      <c r="C253" s="2" t="s">
        <v>325</v>
      </c>
      <c r="D253" s="2" t="s">
        <v>432</v>
      </c>
      <c r="E253" s="6">
        <v>2750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thickBot="1" x14ac:dyDescent="0.2">
      <c r="A254" s="1" t="s">
        <v>587</v>
      </c>
      <c r="B254" s="2" t="s">
        <v>353</v>
      </c>
      <c r="C254" s="6">
        <v>6</v>
      </c>
      <c r="D254" s="2" t="s">
        <v>432</v>
      </c>
      <c r="E254" s="6">
        <v>4000</v>
      </c>
      <c r="F254" s="18"/>
      <c r="G254" s="18"/>
      <c r="H254" s="18">
        <v>734.25</v>
      </c>
      <c r="I254" s="18"/>
      <c r="J254" s="18"/>
      <c r="K254" s="18"/>
      <c r="L254" s="19">
        <f t="shared" si="6"/>
        <v>734.25</v>
      </c>
      <c r="M254" s="8"/>
      <c r="N254" s="272"/>
    </row>
    <row r="255" spans="1:14" s="3" customFormat="1" ht="12" customHeight="1" thickTop="1" thickBot="1" x14ac:dyDescent="0.2">
      <c r="A255" s="38" t="s">
        <v>462</v>
      </c>
      <c r="B255" s="40">
        <v>10</v>
      </c>
      <c r="C255" s="40">
        <v>7</v>
      </c>
      <c r="D255" s="39" t="s">
        <v>432</v>
      </c>
      <c r="E255" s="40"/>
      <c r="F255" s="41">
        <f t="shared" ref="F255:K255" si="7">SUM(F249:F254)</f>
        <v>0</v>
      </c>
      <c r="G255" s="41">
        <f t="shared" si="7"/>
        <v>0</v>
      </c>
      <c r="H255" s="41">
        <f t="shared" si="7"/>
        <v>734.25</v>
      </c>
      <c r="I255" s="41">
        <f t="shared" si="7"/>
        <v>0</v>
      </c>
      <c r="J255" s="41">
        <f t="shared" si="7"/>
        <v>0</v>
      </c>
      <c r="K255" s="41">
        <f t="shared" si="7"/>
        <v>0</v>
      </c>
      <c r="L255" s="41">
        <f>SUM(F255:K255)</f>
        <v>734.25</v>
      </c>
      <c r="M255" s="8"/>
      <c r="N255" s="272"/>
    </row>
    <row r="256" spans="1:14" s="3" customFormat="1" ht="12" customHeight="1" thickTop="1" x14ac:dyDescent="0.15">
      <c r="A256" s="38" t="s">
        <v>463</v>
      </c>
      <c r="B256" s="40">
        <v>10</v>
      </c>
      <c r="C256" s="40">
        <v>8</v>
      </c>
      <c r="D256" s="39" t="s">
        <v>432</v>
      </c>
      <c r="E256" s="40"/>
      <c r="F256" s="41">
        <f t="shared" ref="F256:L256" si="8">F210+F228+F246+F255</f>
        <v>8812586.6600000001</v>
      </c>
      <c r="G256" s="41">
        <f t="shared" si="8"/>
        <v>4321382.7799999993</v>
      </c>
      <c r="H256" s="41">
        <f t="shared" si="8"/>
        <v>2329304.69</v>
      </c>
      <c r="I256" s="41">
        <f t="shared" si="8"/>
        <v>1088590.31</v>
      </c>
      <c r="J256" s="41">
        <f t="shared" si="8"/>
        <v>340115.8</v>
      </c>
      <c r="K256" s="41">
        <f t="shared" si="8"/>
        <v>119747.12</v>
      </c>
      <c r="L256" s="41">
        <f t="shared" si="8"/>
        <v>17011727.359999999</v>
      </c>
      <c r="M256" s="8"/>
      <c r="N256" s="272"/>
    </row>
    <row r="257" spans="1:14" s="3" customFormat="1" ht="12" customHeight="1" x14ac:dyDescent="0.15">
      <c r="A257" s="34" t="s">
        <v>355</v>
      </c>
      <c r="F257" s="13"/>
      <c r="G257" s="13"/>
      <c r="H257" s="13"/>
      <c r="I257" s="13"/>
      <c r="J257" s="13"/>
      <c r="K257" s="14" t="s">
        <v>287</v>
      </c>
      <c r="L257" s="14" t="s">
        <v>356</v>
      </c>
      <c r="M257" s="8"/>
      <c r="N257" s="272"/>
    </row>
    <row r="258" spans="1:14" s="3" customFormat="1" ht="12" customHeight="1" x14ac:dyDescent="0.15">
      <c r="A258" s="30" t="s">
        <v>464</v>
      </c>
      <c r="E258" s="6">
        <v>5100</v>
      </c>
      <c r="F258" s="24" t="s">
        <v>289</v>
      </c>
      <c r="G258" s="24" t="s">
        <v>289</v>
      </c>
      <c r="H258" s="24" t="s">
        <v>289</v>
      </c>
      <c r="I258" s="24" t="s">
        <v>289</v>
      </c>
      <c r="J258" s="24" t="s">
        <v>289</v>
      </c>
      <c r="K258" s="24" t="s">
        <v>289</v>
      </c>
      <c r="L258" s="24" t="s">
        <v>289</v>
      </c>
      <c r="M258" s="8"/>
      <c r="N258" s="272"/>
    </row>
    <row r="259" spans="1:14" s="3" customFormat="1" ht="12" customHeight="1" x14ac:dyDescent="0.15">
      <c r="A259" s="1" t="s">
        <v>523</v>
      </c>
      <c r="B259" s="2" t="s">
        <v>353</v>
      </c>
      <c r="C259" s="6">
        <v>9</v>
      </c>
      <c r="D259" s="2" t="s">
        <v>432</v>
      </c>
      <c r="E259" s="6">
        <v>5110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18">
        <v>175000</v>
      </c>
      <c r="L259" s="19">
        <f>SUM(F259:K259)</f>
        <v>175000</v>
      </c>
      <c r="M259" s="8"/>
      <c r="N259" s="272"/>
    </row>
    <row r="260" spans="1:14" ht="12" customHeight="1" x14ac:dyDescent="0.2">
      <c r="A260" s="1" t="s">
        <v>535</v>
      </c>
      <c r="B260" s="2" t="s">
        <v>353</v>
      </c>
      <c r="C260" s="6">
        <v>10</v>
      </c>
      <c r="D260" s="2" t="s">
        <v>432</v>
      </c>
      <c r="E260" s="6">
        <v>5120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/>
      <c r="L260" s="19">
        <f>SUM(F260:K260)</f>
        <v>0</v>
      </c>
      <c r="N260" s="270"/>
    </row>
    <row r="261" spans="1:14" ht="12" customHeight="1" x14ac:dyDescent="0.2">
      <c r="A261" s="30" t="s">
        <v>357</v>
      </c>
      <c r="B261" s="3"/>
      <c r="C261" s="3"/>
      <c r="D261" s="3"/>
      <c r="E261" s="6">
        <v>5200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24" t="s">
        <v>289</v>
      </c>
      <c r="L261" s="24" t="s">
        <v>289</v>
      </c>
      <c r="N261" s="270"/>
    </row>
    <row r="262" spans="1:14" ht="12" customHeight="1" x14ac:dyDescent="0.2">
      <c r="A262" s="3" t="s">
        <v>536</v>
      </c>
      <c r="B262" s="6">
        <v>10</v>
      </c>
      <c r="C262" s="6">
        <v>11</v>
      </c>
      <c r="D262" s="2" t="s">
        <v>432</v>
      </c>
      <c r="E262" s="6">
        <v>5221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18">
        <v>4306</v>
      </c>
      <c r="L262" s="19">
        <f>SUM(F262:K262)</f>
        <v>4306</v>
      </c>
      <c r="N262" s="270"/>
    </row>
    <row r="263" spans="1:14" ht="12" customHeight="1" x14ac:dyDescent="0.2">
      <c r="A263" s="3" t="s">
        <v>605</v>
      </c>
      <c r="B263" s="6">
        <v>10</v>
      </c>
      <c r="C263" s="6">
        <v>12</v>
      </c>
      <c r="D263" s="2" t="s">
        <v>432</v>
      </c>
      <c r="E263" s="6">
        <v>5222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/>
      <c r="L263" s="19">
        <f t="shared" ref="L263:L269" si="9">SUM(F263:K263)</f>
        <v>0</v>
      </c>
      <c r="N263" s="270"/>
    </row>
    <row r="264" spans="1:14" ht="12" customHeight="1" x14ac:dyDescent="0.2">
      <c r="A264" s="3" t="s">
        <v>537</v>
      </c>
      <c r="B264" s="6">
        <v>10</v>
      </c>
      <c r="C264" s="6">
        <v>13</v>
      </c>
      <c r="D264" s="2" t="s">
        <v>432</v>
      </c>
      <c r="E264" s="6">
        <v>5230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274">
        <v>0</v>
      </c>
      <c r="L264" s="19">
        <f t="shared" si="9"/>
        <v>0</v>
      </c>
      <c r="N264" s="270"/>
    </row>
    <row r="265" spans="1:14" ht="12" customHeight="1" x14ac:dyDescent="0.2">
      <c r="A265" s="3" t="s">
        <v>538</v>
      </c>
      <c r="B265" s="6">
        <v>10</v>
      </c>
      <c r="C265" s="6">
        <v>14</v>
      </c>
      <c r="D265" s="2" t="s">
        <v>432</v>
      </c>
      <c r="E265" s="6">
        <v>5250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>
        <v>501328.04</v>
      </c>
      <c r="L265" s="19">
        <f>SUM(F265:K265)</f>
        <v>501328.04</v>
      </c>
      <c r="N265" s="270"/>
    </row>
    <row r="266" spans="1:14" ht="12" customHeight="1" x14ac:dyDescent="0.2">
      <c r="A266" s="27" t="s">
        <v>563</v>
      </c>
      <c r="B266" s="6"/>
      <c r="C266" s="6"/>
      <c r="D266" s="6"/>
      <c r="E266" s="6">
        <v>5300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24" t="s">
        <v>289</v>
      </c>
      <c r="L266" s="24" t="s">
        <v>289</v>
      </c>
      <c r="N266" s="270"/>
    </row>
    <row r="267" spans="1:14" ht="12" customHeight="1" x14ac:dyDescent="0.2">
      <c r="A267" s="3" t="s">
        <v>539</v>
      </c>
      <c r="B267" s="6">
        <v>10</v>
      </c>
      <c r="C267" s="6">
        <v>15</v>
      </c>
      <c r="D267" s="2" t="s">
        <v>432</v>
      </c>
      <c r="E267" s="6">
        <v>5310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18">
        <v>88944</v>
      </c>
      <c r="L267" s="19">
        <f t="shared" si="9"/>
        <v>88944</v>
      </c>
      <c r="N267" s="270"/>
    </row>
    <row r="268" spans="1:14" ht="12" customHeight="1" thickBot="1" x14ac:dyDescent="0.25">
      <c r="A268" s="3" t="s">
        <v>540</v>
      </c>
      <c r="B268" s="6">
        <v>10</v>
      </c>
      <c r="C268" s="6">
        <v>16</v>
      </c>
      <c r="D268" s="2" t="s">
        <v>432</v>
      </c>
      <c r="E268" s="6">
        <v>5390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70"/>
    </row>
    <row r="269" spans="1:14" ht="12" customHeight="1" thickTop="1" thickBot="1" x14ac:dyDescent="0.25">
      <c r="A269" s="43" t="s">
        <v>421</v>
      </c>
      <c r="B269" s="40">
        <v>10</v>
      </c>
      <c r="C269" s="40">
        <v>17</v>
      </c>
      <c r="D269" s="39" t="s">
        <v>432</v>
      </c>
      <c r="E269" s="40"/>
      <c r="F269" s="42">
        <f t="shared" ref="F269:K269" si="10">SUM(F259:F268)</f>
        <v>0</v>
      </c>
      <c r="G269" s="42">
        <f t="shared" si="10"/>
        <v>0</v>
      </c>
      <c r="H269" s="42">
        <f t="shared" si="10"/>
        <v>0</v>
      </c>
      <c r="I269" s="42">
        <f t="shared" si="10"/>
        <v>0</v>
      </c>
      <c r="J269" s="42">
        <f t="shared" si="10"/>
        <v>0</v>
      </c>
      <c r="K269" s="42">
        <f t="shared" si="10"/>
        <v>769578.04</v>
      </c>
      <c r="L269" s="41">
        <f t="shared" si="9"/>
        <v>769578.04</v>
      </c>
      <c r="N269" s="270"/>
    </row>
    <row r="270" spans="1:14" s="3" customFormat="1" ht="12" customHeight="1" thickTop="1" x14ac:dyDescent="0.2">
      <c r="A270" s="43" t="s">
        <v>465</v>
      </c>
      <c r="B270" s="40">
        <v>10</v>
      </c>
      <c r="C270" s="40">
        <v>18</v>
      </c>
      <c r="D270" s="39" t="s">
        <v>432</v>
      </c>
      <c r="E270" s="40"/>
      <c r="F270" s="42">
        <f t="shared" ref="F270:L270" si="11">F256+F269</f>
        <v>8812586.6600000001</v>
      </c>
      <c r="G270" s="42">
        <f t="shared" si="11"/>
        <v>4321382.7799999993</v>
      </c>
      <c r="H270" s="42">
        <f t="shared" si="11"/>
        <v>2329304.69</v>
      </c>
      <c r="I270" s="42">
        <f t="shared" si="11"/>
        <v>1088590.31</v>
      </c>
      <c r="J270" s="42">
        <f t="shared" si="11"/>
        <v>340115.8</v>
      </c>
      <c r="K270" s="42">
        <f t="shared" si="11"/>
        <v>889325.16</v>
      </c>
      <c r="L270" s="42">
        <f t="shared" si="11"/>
        <v>17781305.399999999</v>
      </c>
      <c r="M270" s="8"/>
      <c r="N270" s="272"/>
    </row>
    <row r="271" spans="1:14" s="34" customFormat="1" ht="12" customHeight="1" x14ac:dyDescent="0.2">
      <c r="A271" s="33"/>
      <c r="B271" s="6"/>
      <c r="C271" s="6"/>
      <c r="D271" s="6"/>
      <c r="E271" s="6"/>
      <c r="F271" s="20"/>
      <c r="G271" s="20"/>
      <c r="H271" s="20"/>
      <c r="I271" s="20"/>
      <c r="J271" s="20"/>
      <c r="K271" s="20"/>
      <c r="L271" s="20"/>
      <c r="M271" s="35"/>
      <c r="N271" s="272"/>
    </row>
    <row r="272" spans="1:14" s="3" customFormat="1" ht="12" customHeight="1" x14ac:dyDescent="0.15">
      <c r="A272" s="29" t="s">
        <v>467</v>
      </c>
      <c r="F272" s="177" t="s">
        <v>693</v>
      </c>
      <c r="G272" s="177" t="s">
        <v>694</v>
      </c>
      <c r="H272" s="177" t="s">
        <v>695</v>
      </c>
      <c r="I272" s="177" t="s">
        <v>696</v>
      </c>
      <c r="J272" s="177" t="s">
        <v>697</v>
      </c>
      <c r="K272" s="177" t="s">
        <v>698</v>
      </c>
      <c r="M272" s="8"/>
      <c r="N272" s="272"/>
    </row>
    <row r="273" spans="1:14" s="3" customFormat="1" ht="12" customHeight="1" x14ac:dyDescent="0.15">
      <c r="A273" s="29" t="s">
        <v>452</v>
      </c>
      <c r="B273" s="34"/>
      <c r="C273" s="34"/>
      <c r="D273" s="34"/>
      <c r="E273" s="34"/>
      <c r="F273" s="103" t="s">
        <v>54</v>
      </c>
      <c r="G273" s="103" t="s">
        <v>55</v>
      </c>
      <c r="H273" s="103" t="s">
        <v>56</v>
      </c>
      <c r="I273" s="103" t="s">
        <v>57</v>
      </c>
      <c r="J273" s="103" t="s">
        <v>58</v>
      </c>
      <c r="K273" s="103" t="s">
        <v>59</v>
      </c>
      <c r="L273" s="103" t="s">
        <v>5</v>
      </c>
      <c r="M273" s="8"/>
      <c r="N273" s="272"/>
    </row>
    <row r="274" spans="1:14" s="3" customFormat="1" ht="12" customHeight="1" x14ac:dyDescent="0.15">
      <c r="A274" s="30" t="s">
        <v>195</v>
      </c>
      <c r="F274" s="24" t="s">
        <v>289</v>
      </c>
      <c r="G274" s="24" t="s">
        <v>289</v>
      </c>
      <c r="H274" s="24" t="s">
        <v>289</v>
      </c>
      <c r="I274" s="24" t="s">
        <v>289</v>
      </c>
      <c r="J274" s="24" t="s">
        <v>289</v>
      </c>
      <c r="K274" s="24" t="s">
        <v>289</v>
      </c>
      <c r="L274" s="24" t="s">
        <v>289</v>
      </c>
      <c r="M274" s="8"/>
      <c r="N274" s="272"/>
    </row>
    <row r="275" spans="1:14" s="3" customFormat="1" ht="12" customHeight="1" x14ac:dyDescent="0.15">
      <c r="A275" s="1" t="s">
        <v>439</v>
      </c>
      <c r="B275" s="2" t="s">
        <v>358</v>
      </c>
      <c r="C275" s="2" t="s">
        <v>291</v>
      </c>
      <c r="D275" s="2" t="s">
        <v>432</v>
      </c>
      <c r="E275" s="6">
        <v>1100</v>
      </c>
      <c r="F275" s="18">
        <v>1337.67</v>
      </c>
      <c r="G275" s="18">
        <v>318.39999999999998</v>
      </c>
      <c r="H275" s="18"/>
      <c r="I275" s="18">
        <v>40258.1</v>
      </c>
      <c r="J275" s="18"/>
      <c r="K275" s="18">
        <v>1625</v>
      </c>
      <c r="L275" s="19">
        <f>SUM(F275:K275)</f>
        <v>43539.17</v>
      </c>
      <c r="M275" s="8"/>
      <c r="N275" s="272"/>
    </row>
    <row r="276" spans="1:14" s="3" customFormat="1" ht="12" customHeight="1" x14ac:dyDescent="0.15">
      <c r="A276" s="1" t="s">
        <v>440</v>
      </c>
      <c r="B276" s="2" t="s">
        <v>358</v>
      </c>
      <c r="C276" s="2" t="s">
        <v>292</v>
      </c>
      <c r="D276" s="2" t="s">
        <v>432</v>
      </c>
      <c r="E276" s="6">
        <v>1200</v>
      </c>
      <c r="F276" s="18">
        <v>199357.69</v>
      </c>
      <c r="G276" s="18">
        <v>87434.73</v>
      </c>
      <c r="H276" s="18">
        <v>53582.71</v>
      </c>
      <c r="I276" s="18">
        <v>39957.230000000003</v>
      </c>
      <c r="J276" s="18">
        <v>6759.43</v>
      </c>
      <c r="K276" s="18"/>
      <c r="L276" s="19">
        <f>SUM(F276:K276)</f>
        <v>387091.79</v>
      </c>
      <c r="M276" s="8"/>
      <c r="N276" s="272"/>
    </row>
    <row r="277" spans="1:14" s="3" customFormat="1" ht="12" customHeight="1" x14ac:dyDescent="0.15">
      <c r="A277" s="1" t="s">
        <v>441</v>
      </c>
      <c r="B277" s="2" t="s">
        <v>358</v>
      </c>
      <c r="C277" s="2" t="s">
        <v>293</v>
      </c>
      <c r="D277" s="2" t="s">
        <v>432</v>
      </c>
      <c r="E277" s="6">
        <v>1300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  <c r="N277" s="272"/>
    </row>
    <row r="278" spans="1:14" s="3" customFormat="1" ht="12" customHeight="1" x14ac:dyDescent="0.15">
      <c r="A278" s="1" t="s">
        <v>442</v>
      </c>
      <c r="B278" s="2" t="s">
        <v>358</v>
      </c>
      <c r="C278" s="2" t="s">
        <v>294</v>
      </c>
      <c r="D278" s="2" t="s">
        <v>432</v>
      </c>
      <c r="E278" s="6">
        <v>1400</v>
      </c>
      <c r="F278" s="18"/>
      <c r="G278" s="18"/>
      <c r="H278" s="18"/>
      <c r="I278" s="18">
        <v>651.28</v>
      </c>
      <c r="J278" s="18"/>
      <c r="K278" s="18">
        <v>1110</v>
      </c>
      <c r="L278" s="19">
        <f>SUM(F278:K278)</f>
        <v>1761.28</v>
      </c>
      <c r="M278" s="8"/>
      <c r="N278" s="272"/>
    </row>
    <row r="279" spans="1:14" s="3" customFormat="1" ht="12" customHeight="1" x14ac:dyDescent="0.15">
      <c r="A279" s="30" t="s">
        <v>343</v>
      </c>
      <c r="E279" s="6"/>
      <c r="F279" s="24" t="s">
        <v>289</v>
      </c>
      <c r="G279" s="24" t="s">
        <v>289</v>
      </c>
      <c r="H279" s="24" t="s">
        <v>289</v>
      </c>
      <c r="I279" s="24" t="s">
        <v>289</v>
      </c>
      <c r="J279" s="24" t="s">
        <v>289</v>
      </c>
      <c r="K279" s="24" t="s">
        <v>289</v>
      </c>
      <c r="L279" s="24" t="s">
        <v>289</v>
      </c>
      <c r="M279" s="8"/>
      <c r="N279" s="272"/>
    </row>
    <row r="280" spans="1:14" s="3" customFormat="1" ht="12" customHeight="1" x14ac:dyDescent="0.15">
      <c r="A280" s="1" t="s">
        <v>443</v>
      </c>
      <c r="B280" s="2" t="s">
        <v>358</v>
      </c>
      <c r="C280" s="2" t="s">
        <v>295</v>
      </c>
      <c r="D280" s="2" t="s">
        <v>432</v>
      </c>
      <c r="E280" s="6">
        <v>2100</v>
      </c>
      <c r="F280" s="18">
        <v>60774.36</v>
      </c>
      <c r="G280" s="18">
        <v>20822.62</v>
      </c>
      <c r="H280" s="18">
        <v>39232.97</v>
      </c>
      <c r="I280" s="18"/>
      <c r="J280" s="18">
        <v>-1417.74</v>
      </c>
      <c r="K280" s="18"/>
      <c r="L280" s="19">
        <f t="shared" ref="L280:L286" si="12">SUM(F280:K280)</f>
        <v>119412.20999999999</v>
      </c>
      <c r="M280" s="8"/>
      <c r="N280" s="272"/>
    </row>
    <row r="281" spans="1:14" s="3" customFormat="1" ht="12" customHeight="1" x14ac:dyDescent="0.15">
      <c r="A281" s="1" t="s">
        <v>444</v>
      </c>
      <c r="B281" s="2" t="s">
        <v>358</v>
      </c>
      <c r="C281" s="2" t="s">
        <v>296</v>
      </c>
      <c r="D281" s="2" t="s">
        <v>432</v>
      </c>
      <c r="E281" s="6">
        <v>2200</v>
      </c>
      <c r="F281" s="18">
        <v>10100</v>
      </c>
      <c r="G281" s="18">
        <v>1389.52</v>
      </c>
      <c r="H281" s="18">
        <v>54739.51</v>
      </c>
      <c r="I281" s="18">
        <v>2468.27</v>
      </c>
      <c r="J281" s="18"/>
      <c r="K281" s="18">
        <v>1236.1500000000001</v>
      </c>
      <c r="L281" s="19">
        <f t="shared" si="12"/>
        <v>69933.45</v>
      </c>
      <c r="M281" s="8"/>
      <c r="N281" s="272"/>
    </row>
    <row r="282" spans="1:14" s="3" customFormat="1" ht="12" customHeight="1" x14ac:dyDescent="0.15">
      <c r="A282" s="1" t="s">
        <v>445</v>
      </c>
      <c r="B282" s="2" t="s">
        <v>358</v>
      </c>
      <c r="C282" s="2" t="s">
        <v>297</v>
      </c>
      <c r="D282" s="2" t="s">
        <v>432</v>
      </c>
      <c r="E282" s="6">
        <v>2300</v>
      </c>
      <c r="F282" s="18">
        <v>50053.17</v>
      </c>
      <c r="G282" s="18">
        <v>25252.61</v>
      </c>
      <c r="H282" s="18"/>
      <c r="I282" s="18"/>
      <c r="J282" s="18"/>
      <c r="K282" s="18"/>
      <c r="L282" s="19">
        <f t="shared" si="12"/>
        <v>75305.78</v>
      </c>
      <c r="M282" s="8"/>
      <c r="N282" s="272"/>
    </row>
    <row r="283" spans="1:14" s="3" customFormat="1" ht="12" customHeight="1" x14ac:dyDescent="0.15">
      <c r="A283" s="1" t="s">
        <v>446</v>
      </c>
      <c r="B283" s="2" t="s">
        <v>358</v>
      </c>
      <c r="C283" s="2" t="s">
        <v>298</v>
      </c>
      <c r="D283" s="2" t="s">
        <v>432</v>
      </c>
      <c r="E283" s="6">
        <v>2400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" customHeight="1" x14ac:dyDescent="0.15">
      <c r="A284" s="1" t="s">
        <v>447</v>
      </c>
      <c r="B284" s="2" t="s">
        <v>358</v>
      </c>
      <c r="C284" s="2" t="s">
        <v>299</v>
      </c>
      <c r="D284" s="2" t="s">
        <v>432</v>
      </c>
      <c r="E284" s="6">
        <v>2500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448</v>
      </c>
      <c r="B285" s="2" t="s">
        <v>358</v>
      </c>
      <c r="C285" s="2" t="s">
        <v>300</v>
      </c>
      <c r="D285" s="2" t="s">
        <v>432</v>
      </c>
      <c r="E285" s="6">
        <v>2600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449</v>
      </c>
      <c r="B286" s="2" t="s">
        <v>358</v>
      </c>
      <c r="C286" s="2" t="s">
        <v>301</v>
      </c>
      <c r="D286" s="2" t="s">
        <v>432</v>
      </c>
      <c r="E286" s="6">
        <v>2700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450</v>
      </c>
      <c r="B287" s="2" t="s">
        <v>358</v>
      </c>
      <c r="C287" s="2" t="s">
        <v>344</v>
      </c>
      <c r="D287" s="2" t="s">
        <v>432</v>
      </c>
      <c r="E287" s="6">
        <v>2800</v>
      </c>
      <c r="F287" s="18">
        <v>6870</v>
      </c>
      <c r="G287" s="18">
        <v>533.98</v>
      </c>
      <c r="H287" s="18">
        <v>981.84</v>
      </c>
      <c r="I287" s="18">
        <v>2018.31</v>
      </c>
      <c r="J287" s="18"/>
      <c r="K287" s="18"/>
      <c r="L287" s="19">
        <f>SUM(F287:K287)</f>
        <v>10404.129999999999</v>
      </c>
      <c r="M287" s="8"/>
      <c r="N287" s="272"/>
    </row>
    <row r="288" spans="1:14" s="3" customFormat="1" ht="12" customHeight="1" thickBot="1" x14ac:dyDescent="0.2">
      <c r="A288" s="1" t="s">
        <v>451</v>
      </c>
      <c r="B288" s="2" t="s">
        <v>358</v>
      </c>
      <c r="C288" s="2" t="s">
        <v>345</v>
      </c>
      <c r="D288" s="2" t="s">
        <v>432</v>
      </c>
      <c r="E288" s="6">
        <v>2900</v>
      </c>
      <c r="F288" s="24" t="s">
        <v>289</v>
      </c>
      <c r="G288" s="24" t="s">
        <v>289</v>
      </c>
      <c r="H288" s="24" t="s">
        <v>289</v>
      </c>
      <c r="I288" s="24" t="s">
        <v>289</v>
      </c>
      <c r="J288" s="24" t="s">
        <v>289</v>
      </c>
      <c r="K288" s="24" t="s">
        <v>289</v>
      </c>
      <c r="L288" s="24" t="s">
        <v>289</v>
      </c>
      <c r="M288" s="8"/>
      <c r="N288" s="272"/>
    </row>
    <row r="289" spans="1:14" s="3" customFormat="1" ht="12" customHeight="1" thickTop="1" x14ac:dyDescent="0.2">
      <c r="A289" s="38" t="s">
        <v>420</v>
      </c>
      <c r="B289" s="39" t="s">
        <v>358</v>
      </c>
      <c r="C289" s="39" t="s">
        <v>346</v>
      </c>
      <c r="D289" s="39" t="s">
        <v>432</v>
      </c>
      <c r="E289" s="39"/>
      <c r="F289" s="42">
        <f t="shared" ref="F289:L289" si="13">SUM(F275:F288)</f>
        <v>328492.89</v>
      </c>
      <c r="G289" s="42">
        <f t="shared" si="13"/>
        <v>135751.86000000002</v>
      </c>
      <c r="H289" s="42">
        <f t="shared" si="13"/>
        <v>148537.03</v>
      </c>
      <c r="I289" s="42">
        <f t="shared" si="13"/>
        <v>85353.19</v>
      </c>
      <c r="J289" s="42">
        <f t="shared" si="13"/>
        <v>5341.6900000000005</v>
      </c>
      <c r="K289" s="42">
        <f t="shared" si="13"/>
        <v>3971.15</v>
      </c>
      <c r="L289" s="41">
        <f t="shared" si="13"/>
        <v>707447.80999999994</v>
      </c>
      <c r="M289" s="8"/>
      <c r="N289" s="272"/>
    </row>
    <row r="290" spans="1:14" s="3" customFormat="1" ht="12" customHeight="1" x14ac:dyDescent="0.2">
      <c r="A290" s="70"/>
      <c r="B290" s="36"/>
      <c r="C290" s="36"/>
      <c r="D290" s="36"/>
      <c r="E290" s="36"/>
      <c r="F290" s="53"/>
      <c r="G290" s="53"/>
      <c r="H290" s="53"/>
      <c r="I290" s="53"/>
      <c r="J290" s="53"/>
      <c r="K290" s="53"/>
      <c r="L290" s="67"/>
      <c r="M290" s="8"/>
      <c r="N290" s="272"/>
    </row>
    <row r="291" spans="1:14" s="3" customFormat="1" ht="12" customHeight="1" x14ac:dyDescent="0.15">
      <c r="A291" s="29" t="s">
        <v>467</v>
      </c>
      <c r="B291" s="2" t="s">
        <v>327</v>
      </c>
      <c r="C291" s="2" t="s">
        <v>327</v>
      </c>
      <c r="D291" s="2"/>
      <c r="E291" s="2"/>
      <c r="F291" s="177" t="s">
        <v>693</v>
      </c>
      <c r="G291" s="177" t="s">
        <v>694</v>
      </c>
      <c r="H291" s="177" t="s">
        <v>695</v>
      </c>
      <c r="I291" s="177" t="s">
        <v>696</v>
      </c>
      <c r="J291" s="177" t="s">
        <v>697</v>
      </c>
      <c r="K291" s="177" t="s">
        <v>698</v>
      </c>
      <c r="L291" s="17"/>
      <c r="M291" s="8"/>
      <c r="N291" s="272"/>
    </row>
    <row r="292" spans="1:14" s="3" customFormat="1" ht="12" customHeight="1" x14ac:dyDescent="0.15">
      <c r="A292" s="29" t="s">
        <v>453</v>
      </c>
      <c r="B292" s="7"/>
      <c r="C292" s="7"/>
      <c r="D292" s="7"/>
      <c r="E292" s="7"/>
      <c r="F292" s="103" t="s">
        <v>54</v>
      </c>
      <c r="G292" s="103" t="s">
        <v>55</v>
      </c>
      <c r="H292" s="103" t="s">
        <v>56</v>
      </c>
      <c r="I292" s="103" t="s">
        <v>57</v>
      </c>
      <c r="J292" s="103" t="s">
        <v>58</v>
      </c>
      <c r="K292" s="103" t="s">
        <v>59</v>
      </c>
      <c r="L292" s="103" t="s">
        <v>5</v>
      </c>
      <c r="M292" s="8"/>
      <c r="N292" s="272"/>
    </row>
    <row r="293" spans="1:14" s="3" customFormat="1" ht="12" customHeight="1" x14ac:dyDescent="0.15">
      <c r="A293" s="30" t="s">
        <v>195</v>
      </c>
      <c r="F293" s="24" t="s">
        <v>289</v>
      </c>
      <c r="G293" s="24" t="s">
        <v>289</v>
      </c>
      <c r="H293" s="24" t="s">
        <v>289</v>
      </c>
      <c r="I293" s="24" t="s">
        <v>289</v>
      </c>
      <c r="J293" s="24" t="s">
        <v>289</v>
      </c>
      <c r="K293" s="24" t="s">
        <v>289</v>
      </c>
      <c r="L293" s="24" t="s">
        <v>289</v>
      </c>
      <c r="M293" s="8"/>
      <c r="N293" s="272"/>
    </row>
    <row r="294" spans="1:14" s="3" customFormat="1" ht="12" customHeight="1" x14ac:dyDescent="0.15">
      <c r="A294" s="1" t="s">
        <v>439</v>
      </c>
      <c r="B294" s="2" t="s">
        <v>359</v>
      </c>
      <c r="C294" s="2" t="s">
        <v>291</v>
      </c>
      <c r="D294" s="2" t="s">
        <v>432</v>
      </c>
      <c r="E294" s="6">
        <v>1100</v>
      </c>
      <c r="F294" s="18"/>
      <c r="G294" s="18"/>
      <c r="H294" s="18"/>
      <c r="I294" s="18"/>
      <c r="J294" s="18"/>
      <c r="K294" s="18"/>
      <c r="L294" s="19">
        <f>SUM(F294:K294)</f>
        <v>0</v>
      </c>
      <c r="M294" s="8"/>
      <c r="N294" s="272"/>
    </row>
    <row r="295" spans="1:14" s="3" customFormat="1" ht="12" customHeight="1" x14ac:dyDescent="0.15">
      <c r="A295" s="1" t="s">
        <v>440</v>
      </c>
      <c r="B295" s="2" t="s">
        <v>359</v>
      </c>
      <c r="C295" s="2" t="s">
        <v>292</v>
      </c>
      <c r="D295" s="2" t="s">
        <v>432</v>
      </c>
      <c r="E295" s="6">
        <v>1200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441</v>
      </c>
      <c r="B296" s="2" t="s">
        <v>359</v>
      </c>
      <c r="C296" s="2" t="s">
        <v>293</v>
      </c>
      <c r="D296" s="2" t="s">
        <v>432</v>
      </c>
      <c r="E296" s="6">
        <v>1300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442</v>
      </c>
      <c r="B297" s="2" t="s">
        <v>359</v>
      </c>
      <c r="C297" s="2" t="s">
        <v>294</v>
      </c>
      <c r="D297" s="2" t="s">
        <v>432</v>
      </c>
      <c r="E297" s="6">
        <v>1400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30" t="s">
        <v>343</v>
      </c>
      <c r="E298" s="6"/>
      <c r="F298" s="24" t="s">
        <v>289</v>
      </c>
      <c r="G298" s="24" t="s">
        <v>289</v>
      </c>
      <c r="H298" s="24" t="s">
        <v>289</v>
      </c>
      <c r="I298" s="24" t="s">
        <v>289</v>
      </c>
      <c r="J298" s="24" t="s">
        <v>289</v>
      </c>
      <c r="K298" s="24" t="s">
        <v>289</v>
      </c>
      <c r="L298" s="24" t="s">
        <v>289</v>
      </c>
      <c r="M298" s="8"/>
      <c r="N298" s="272"/>
    </row>
    <row r="299" spans="1:14" s="3" customFormat="1" ht="12" customHeight="1" x14ac:dyDescent="0.15">
      <c r="A299" s="1" t="s">
        <v>443</v>
      </c>
      <c r="B299" s="2" t="s">
        <v>359</v>
      </c>
      <c r="C299" s="2" t="s">
        <v>295</v>
      </c>
      <c r="D299" s="2" t="s">
        <v>432</v>
      </c>
      <c r="E299" s="6">
        <v>2100</v>
      </c>
      <c r="F299" s="18"/>
      <c r="G299" s="18"/>
      <c r="H299" s="18"/>
      <c r="I299" s="18"/>
      <c r="J299" s="18"/>
      <c r="K299" s="18"/>
      <c r="L299" s="19">
        <f t="shared" ref="L299:L305" si="14">SUM(F299:K299)</f>
        <v>0</v>
      </c>
      <c r="M299" s="8"/>
      <c r="N299" s="272"/>
    </row>
    <row r="300" spans="1:14" s="3" customFormat="1" ht="12" customHeight="1" x14ac:dyDescent="0.15">
      <c r="A300" s="1" t="s">
        <v>444</v>
      </c>
      <c r="B300" s="2" t="s">
        <v>359</v>
      </c>
      <c r="C300" s="2" t="s">
        <v>296</v>
      </c>
      <c r="D300" s="2" t="s">
        <v>432</v>
      </c>
      <c r="E300" s="6">
        <v>2200</v>
      </c>
      <c r="F300" s="18"/>
      <c r="G300" s="18"/>
      <c r="H300" s="18"/>
      <c r="I300" s="18"/>
      <c r="J300" s="18"/>
      <c r="K300" s="18"/>
      <c r="L300" s="19">
        <f t="shared" si="14"/>
        <v>0</v>
      </c>
      <c r="M300" s="8"/>
      <c r="N300" s="272"/>
    </row>
    <row r="301" spans="1:14" s="3" customFormat="1" ht="12" customHeight="1" x14ac:dyDescent="0.15">
      <c r="A301" s="1" t="s">
        <v>445</v>
      </c>
      <c r="B301" s="2" t="s">
        <v>359</v>
      </c>
      <c r="C301" s="2" t="s">
        <v>297</v>
      </c>
      <c r="D301" s="2" t="s">
        <v>432</v>
      </c>
      <c r="E301" s="6">
        <v>2300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446</v>
      </c>
      <c r="B302" s="2" t="s">
        <v>359</v>
      </c>
      <c r="C302" s="2" t="s">
        <v>298</v>
      </c>
      <c r="D302" s="2" t="s">
        <v>432</v>
      </c>
      <c r="E302" s="6">
        <v>2400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447</v>
      </c>
      <c r="B303" s="2" t="s">
        <v>359</v>
      </c>
      <c r="C303" s="2" t="s">
        <v>299</v>
      </c>
      <c r="D303" s="2" t="s">
        <v>432</v>
      </c>
      <c r="E303" s="6">
        <v>2500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448</v>
      </c>
      <c r="B304" s="2" t="s">
        <v>359</v>
      </c>
      <c r="C304" s="2" t="s">
        <v>300</v>
      </c>
      <c r="D304" s="2" t="s">
        <v>432</v>
      </c>
      <c r="E304" s="6">
        <v>2600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449</v>
      </c>
      <c r="B305" s="2" t="s">
        <v>359</v>
      </c>
      <c r="C305" s="2" t="s">
        <v>301</v>
      </c>
      <c r="D305" s="2" t="s">
        <v>432</v>
      </c>
      <c r="E305" s="6">
        <v>2700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450</v>
      </c>
      <c r="B306" s="2" t="s">
        <v>359</v>
      </c>
      <c r="C306" s="2" t="s">
        <v>344</v>
      </c>
      <c r="D306" s="2" t="s">
        <v>432</v>
      </c>
      <c r="E306" s="6">
        <v>2800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  <c r="N306" s="272"/>
    </row>
    <row r="307" spans="1:14" s="3" customFormat="1" ht="12" customHeight="1" thickBot="1" x14ac:dyDescent="0.2">
      <c r="A307" s="1" t="s">
        <v>451</v>
      </c>
      <c r="B307" s="2" t="s">
        <v>359</v>
      </c>
      <c r="C307" s="2" t="s">
        <v>345</v>
      </c>
      <c r="D307" s="2" t="s">
        <v>432</v>
      </c>
      <c r="E307" s="6">
        <v>2900</v>
      </c>
      <c r="F307" s="24" t="s">
        <v>289</v>
      </c>
      <c r="G307" s="24" t="s">
        <v>289</v>
      </c>
      <c r="H307" s="24" t="s">
        <v>289</v>
      </c>
      <c r="I307" s="24" t="s">
        <v>289</v>
      </c>
      <c r="J307" s="24" t="s">
        <v>289</v>
      </c>
      <c r="K307" s="24" t="s">
        <v>289</v>
      </c>
      <c r="L307" s="24" t="s">
        <v>289</v>
      </c>
      <c r="M307" s="8"/>
      <c r="N307" s="272"/>
    </row>
    <row r="308" spans="1:14" ht="12" customHeight="1" thickTop="1" x14ac:dyDescent="0.2">
      <c r="A308" s="38" t="s">
        <v>460</v>
      </c>
      <c r="B308" s="39" t="s">
        <v>359</v>
      </c>
      <c r="C308" s="40">
        <v>14</v>
      </c>
      <c r="D308" s="39" t="s">
        <v>432</v>
      </c>
      <c r="E308" s="40"/>
      <c r="F308" s="42">
        <f t="shared" ref="F308:L308" si="15">SUM(F294:F307)</f>
        <v>0</v>
      </c>
      <c r="G308" s="42">
        <f t="shared" si="15"/>
        <v>0</v>
      </c>
      <c r="H308" s="42">
        <f t="shared" si="15"/>
        <v>0</v>
      </c>
      <c r="I308" s="42">
        <f t="shared" si="15"/>
        <v>0</v>
      </c>
      <c r="J308" s="42">
        <f t="shared" si="15"/>
        <v>0</v>
      </c>
      <c r="K308" s="42">
        <f t="shared" si="15"/>
        <v>0</v>
      </c>
      <c r="L308" s="41">
        <f t="shared" si="15"/>
        <v>0</v>
      </c>
      <c r="N308" s="270"/>
    </row>
    <row r="309" spans="1:14" s="3" customFormat="1" ht="12" customHeight="1" x14ac:dyDescent="0.2">
      <c r="A309" s="70"/>
      <c r="B309" s="36"/>
      <c r="C309" s="37"/>
      <c r="D309" s="37"/>
      <c r="E309" s="37"/>
      <c r="F309" s="53"/>
      <c r="G309" s="53"/>
      <c r="H309" s="53"/>
      <c r="I309" s="53"/>
      <c r="J309" s="53"/>
      <c r="K309" s="53"/>
      <c r="L309" s="67"/>
      <c r="M309" s="8"/>
      <c r="N309" s="272"/>
    </row>
    <row r="310" spans="1:14" s="3" customFormat="1" ht="12" customHeight="1" x14ac:dyDescent="0.2">
      <c r="A310" s="29" t="s">
        <v>467</v>
      </c>
      <c r="B310"/>
      <c r="C310"/>
      <c r="D310"/>
      <c r="E310"/>
      <c r="F310" s="177" t="s">
        <v>693</v>
      </c>
      <c r="G310" s="177" t="s">
        <v>694</v>
      </c>
      <c r="H310" s="177" t="s">
        <v>695</v>
      </c>
      <c r="I310" s="177" t="s">
        <v>696</v>
      </c>
      <c r="J310" s="177" t="s">
        <v>697</v>
      </c>
      <c r="K310" s="177" t="s">
        <v>698</v>
      </c>
      <c r="L310" s="20"/>
      <c r="M310" s="8"/>
      <c r="N310" s="272"/>
    </row>
    <row r="311" spans="1:14" s="3" customFormat="1" ht="12" customHeight="1" x14ac:dyDescent="0.15">
      <c r="A311" s="29" t="s">
        <v>454</v>
      </c>
      <c r="F311" s="103" t="s">
        <v>54</v>
      </c>
      <c r="G311" s="103" t="s">
        <v>55</v>
      </c>
      <c r="H311" s="103" t="s">
        <v>56</v>
      </c>
      <c r="I311" s="103" t="s">
        <v>57</v>
      </c>
      <c r="J311" s="103" t="s">
        <v>58</v>
      </c>
      <c r="K311" s="103" t="s">
        <v>59</v>
      </c>
      <c r="L311" s="103" t="s">
        <v>5</v>
      </c>
      <c r="M311" s="8"/>
      <c r="N311" s="272"/>
    </row>
    <row r="312" spans="1:14" s="3" customFormat="1" ht="12" customHeight="1" x14ac:dyDescent="0.15">
      <c r="A312" s="30" t="s">
        <v>195</v>
      </c>
      <c r="F312" s="24" t="s">
        <v>289</v>
      </c>
      <c r="G312" s="24" t="s">
        <v>289</v>
      </c>
      <c r="H312" s="24" t="s">
        <v>289</v>
      </c>
      <c r="I312" s="24" t="s">
        <v>289</v>
      </c>
      <c r="J312" s="24" t="s">
        <v>289</v>
      </c>
      <c r="K312" s="24" t="s">
        <v>289</v>
      </c>
      <c r="L312" s="24" t="s">
        <v>289</v>
      </c>
      <c r="M312" s="8"/>
      <c r="N312" s="272"/>
    </row>
    <row r="313" spans="1:14" s="3" customFormat="1" ht="12" customHeight="1" x14ac:dyDescent="0.15">
      <c r="A313" s="1" t="s">
        <v>439</v>
      </c>
      <c r="B313" s="2" t="s">
        <v>360</v>
      </c>
      <c r="C313" s="2" t="s">
        <v>291</v>
      </c>
      <c r="D313" s="2" t="s">
        <v>432</v>
      </c>
      <c r="E313" s="6">
        <v>1100</v>
      </c>
      <c r="F313" s="18">
        <v>12665.89</v>
      </c>
      <c r="G313" s="18">
        <v>2093.9</v>
      </c>
      <c r="H313" s="18"/>
      <c r="I313" s="18"/>
      <c r="J313" s="18"/>
      <c r="K313" s="18"/>
      <c r="L313" s="19">
        <f>SUM(F313:K313)</f>
        <v>14759.789999999999</v>
      </c>
      <c r="M313" s="8"/>
      <c r="N313" s="272"/>
    </row>
    <row r="314" spans="1:14" s="3" customFormat="1" ht="12" customHeight="1" x14ac:dyDescent="0.15">
      <c r="A314" s="1" t="s">
        <v>440</v>
      </c>
      <c r="B314" s="2" t="s">
        <v>360</v>
      </c>
      <c r="C314" s="2" t="s">
        <v>292</v>
      </c>
      <c r="D314" s="2" t="s">
        <v>432</v>
      </c>
      <c r="E314" s="6">
        <v>1200</v>
      </c>
      <c r="F314" s="18">
        <v>2740.64</v>
      </c>
      <c r="G314" s="18">
        <v>10.06</v>
      </c>
      <c r="H314" s="18">
        <v>14623.09</v>
      </c>
      <c r="I314" s="18">
        <v>5503.2</v>
      </c>
      <c r="J314" s="18">
        <v>3329.27</v>
      </c>
      <c r="K314" s="18"/>
      <c r="L314" s="19">
        <f>SUM(F314:K314)</f>
        <v>26206.260000000002</v>
      </c>
      <c r="M314" s="8"/>
      <c r="N314" s="272"/>
    </row>
    <row r="315" spans="1:14" s="3" customFormat="1" ht="12" customHeight="1" x14ac:dyDescent="0.15">
      <c r="A315" s="1" t="s">
        <v>441</v>
      </c>
      <c r="B315" s="2" t="s">
        <v>360</v>
      </c>
      <c r="C315" s="2" t="s">
        <v>293</v>
      </c>
      <c r="D315" s="2" t="s">
        <v>432</v>
      </c>
      <c r="E315" s="6">
        <v>1300</v>
      </c>
      <c r="F315" s="18">
        <v>80705.7</v>
      </c>
      <c r="G315" s="18">
        <v>33161.519999999997</v>
      </c>
      <c r="H315" s="18">
        <v>14811.92</v>
      </c>
      <c r="I315" s="18">
        <v>4190.3</v>
      </c>
      <c r="J315" s="18">
        <v>19817.78</v>
      </c>
      <c r="K315" s="18">
        <v>150</v>
      </c>
      <c r="L315" s="19">
        <f>SUM(F315:K315)</f>
        <v>152837.22</v>
      </c>
      <c r="M315" s="8"/>
      <c r="N315" s="272"/>
    </row>
    <row r="316" spans="1:14" s="3" customFormat="1" ht="12" customHeight="1" x14ac:dyDescent="0.15">
      <c r="A316" s="1" t="s">
        <v>442</v>
      </c>
      <c r="B316" s="2" t="s">
        <v>360</v>
      </c>
      <c r="C316" s="2" t="s">
        <v>294</v>
      </c>
      <c r="D316" s="2" t="s">
        <v>432</v>
      </c>
      <c r="E316" s="6">
        <v>1400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30" t="s">
        <v>343</v>
      </c>
      <c r="C317" s="23"/>
      <c r="E317" s="6"/>
      <c r="F317" s="24" t="s">
        <v>289</v>
      </c>
      <c r="G317" s="24" t="s">
        <v>289</v>
      </c>
      <c r="H317" s="24" t="s">
        <v>289</v>
      </c>
      <c r="I317" s="24" t="s">
        <v>289</v>
      </c>
      <c r="J317" s="24" t="s">
        <v>289</v>
      </c>
      <c r="K317" s="24" t="s">
        <v>289</v>
      </c>
      <c r="L317" s="24" t="s">
        <v>289</v>
      </c>
      <c r="M317" s="8"/>
      <c r="N317" s="272"/>
    </row>
    <row r="318" spans="1:14" s="3" customFormat="1" ht="12" customHeight="1" x14ac:dyDescent="0.15">
      <c r="A318" s="1" t="s">
        <v>443</v>
      </c>
      <c r="B318" s="2" t="s">
        <v>360</v>
      </c>
      <c r="C318" s="2" t="s">
        <v>295</v>
      </c>
      <c r="D318" s="2" t="s">
        <v>432</v>
      </c>
      <c r="E318" s="6">
        <v>2100</v>
      </c>
      <c r="F318" s="18">
        <v>29933.64</v>
      </c>
      <c r="G318" s="18">
        <v>10255.92</v>
      </c>
      <c r="H318" s="18">
        <v>19323.7</v>
      </c>
      <c r="I318" s="18"/>
      <c r="J318" s="18">
        <v>-698.29</v>
      </c>
      <c r="K318" s="18"/>
      <c r="L318" s="19">
        <f t="shared" ref="L318:L324" si="16">SUM(F318:K318)</f>
        <v>58814.969999999994</v>
      </c>
      <c r="M318" s="8"/>
      <c r="N318" s="272"/>
    </row>
    <row r="319" spans="1:14" s="3" customFormat="1" ht="12" customHeight="1" x14ac:dyDescent="0.15">
      <c r="A319" s="1" t="s">
        <v>444</v>
      </c>
      <c r="B319" s="2" t="s">
        <v>360</v>
      </c>
      <c r="C319" s="2" t="s">
        <v>296</v>
      </c>
      <c r="D319" s="2" t="s">
        <v>432</v>
      </c>
      <c r="E319" s="6">
        <v>2200</v>
      </c>
      <c r="F319" s="18"/>
      <c r="G319" s="18"/>
      <c r="H319" s="18">
        <v>33311.69</v>
      </c>
      <c r="I319" s="18">
        <v>261.24</v>
      </c>
      <c r="J319" s="18"/>
      <c r="K319" s="18">
        <v>1952.45</v>
      </c>
      <c r="L319" s="19">
        <f t="shared" si="16"/>
        <v>35525.379999999997</v>
      </c>
      <c r="M319" s="8"/>
      <c r="N319" s="272"/>
    </row>
    <row r="320" spans="1:14" s="3" customFormat="1" ht="12" customHeight="1" x14ac:dyDescent="0.15">
      <c r="A320" s="1" t="s">
        <v>445</v>
      </c>
      <c r="B320" s="2" t="s">
        <v>360</v>
      </c>
      <c r="C320" s="2" t="s">
        <v>297</v>
      </c>
      <c r="D320" s="2" t="s">
        <v>432</v>
      </c>
      <c r="E320" s="6">
        <v>2300</v>
      </c>
      <c r="F320" s="18">
        <v>6022.83</v>
      </c>
      <c r="G320" s="18">
        <v>2667.39</v>
      </c>
      <c r="H320" s="18"/>
      <c r="I320" s="18"/>
      <c r="J320" s="18"/>
      <c r="K320" s="18"/>
      <c r="L320" s="19">
        <f t="shared" si="16"/>
        <v>8690.2199999999993</v>
      </c>
      <c r="M320" s="8"/>
      <c r="N320" s="272"/>
    </row>
    <row r="321" spans="1:14" s="3" customFormat="1" ht="12" customHeight="1" x14ac:dyDescent="0.15">
      <c r="A321" s="1" t="s">
        <v>446</v>
      </c>
      <c r="B321" s="2" t="s">
        <v>360</v>
      </c>
      <c r="C321" s="2" t="s">
        <v>298</v>
      </c>
      <c r="D321" s="2" t="s">
        <v>432</v>
      </c>
      <c r="E321" s="6">
        <v>2400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447</v>
      </c>
      <c r="B322" s="2" t="s">
        <v>360</v>
      </c>
      <c r="C322" s="2" t="s">
        <v>299</v>
      </c>
      <c r="D322" s="2" t="s">
        <v>432</v>
      </c>
      <c r="E322" s="6">
        <v>2500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448</v>
      </c>
      <c r="B323" s="2" t="s">
        <v>360</v>
      </c>
      <c r="C323" s="2" t="s">
        <v>300</v>
      </c>
      <c r="D323" s="2" t="s">
        <v>432</v>
      </c>
      <c r="E323" s="6">
        <v>2600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449</v>
      </c>
      <c r="B324" s="2" t="s">
        <v>360</v>
      </c>
      <c r="C324" s="2" t="s">
        <v>301</v>
      </c>
      <c r="D324" s="2" t="s">
        <v>432</v>
      </c>
      <c r="E324" s="6">
        <v>2700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450</v>
      </c>
      <c r="B325" s="2" t="s">
        <v>360</v>
      </c>
      <c r="C325" s="2" t="s">
        <v>344</v>
      </c>
      <c r="D325" s="2" t="s">
        <v>432</v>
      </c>
      <c r="E325" s="6">
        <v>2800</v>
      </c>
      <c r="F325" s="18"/>
      <c r="G325" s="18"/>
      <c r="H325" s="18"/>
      <c r="I325" s="18"/>
      <c r="J325" s="18"/>
      <c r="K325" s="18"/>
      <c r="L325" s="19">
        <f>SUM(F325:K325)</f>
        <v>0</v>
      </c>
      <c r="M325" s="8"/>
      <c r="N325" s="272"/>
    </row>
    <row r="326" spans="1:14" s="3" customFormat="1" ht="12" customHeight="1" thickBot="1" x14ac:dyDescent="0.2">
      <c r="A326" s="1" t="s">
        <v>451</v>
      </c>
      <c r="B326" s="2" t="s">
        <v>360</v>
      </c>
      <c r="C326" s="2" t="s">
        <v>345</v>
      </c>
      <c r="D326" s="2" t="s">
        <v>432</v>
      </c>
      <c r="E326" s="6">
        <v>2900</v>
      </c>
      <c r="F326" s="24" t="s">
        <v>289</v>
      </c>
      <c r="G326" s="24" t="s">
        <v>289</v>
      </c>
      <c r="H326" s="24" t="s">
        <v>289</v>
      </c>
      <c r="I326" s="24" t="s">
        <v>289</v>
      </c>
      <c r="J326" s="24" t="s">
        <v>289</v>
      </c>
      <c r="K326" s="24" t="s">
        <v>289</v>
      </c>
      <c r="L326" s="24" t="s">
        <v>289</v>
      </c>
      <c r="M326" s="8"/>
      <c r="N326" s="272"/>
    </row>
    <row r="327" spans="1:14" s="3" customFormat="1" ht="12" customHeight="1" thickTop="1" x14ac:dyDescent="0.2">
      <c r="A327" s="38" t="s">
        <v>685</v>
      </c>
      <c r="B327" s="39" t="s">
        <v>360</v>
      </c>
      <c r="C327" s="40">
        <v>14</v>
      </c>
      <c r="D327" s="39" t="s">
        <v>432</v>
      </c>
      <c r="E327" s="40"/>
      <c r="F327" s="42">
        <f t="shared" ref="F327:L327" si="17">SUM(F313:F326)</f>
        <v>132068.69999999998</v>
      </c>
      <c r="G327" s="42">
        <f t="shared" si="17"/>
        <v>48188.789999999994</v>
      </c>
      <c r="H327" s="42">
        <f t="shared" si="17"/>
        <v>82070.400000000009</v>
      </c>
      <c r="I327" s="42">
        <f t="shared" si="17"/>
        <v>9954.74</v>
      </c>
      <c r="J327" s="42">
        <f t="shared" si="17"/>
        <v>22448.76</v>
      </c>
      <c r="K327" s="42">
        <f t="shared" si="17"/>
        <v>2102.4499999999998</v>
      </c>
      <c r="L327" s="41">
        <f t="shared" si="17"/>
        <v>296833.83999999997</v>
      </c>
      <c r="M327" s="8"/>
      <c r="N327" s="272"/>
    </row>
    <row r="328" spans="1:14" s="3" customFormat="1" ht="12" customHeight="1" x14ac:dyDescent="0.2">
      <c r="A328" s="70"/>
      <c r="B328" s="36"/>
      <c r="C328" s="37"/>
      <c r="D328" s="37"/>
      <c r="E328" s="37"/>
      <c r="F328" s="53"/>
      <c r="G328" s="53"/>
      <c r="H328" s="53"/>
      <c r="I328" s="53"/>
      <c r="J328" s="53"/>
      <c r="K328" s="53"/>
      <c r="L328" s="67"/>
      <c r="M328" s="8"/>
      <c r="N328" s="272"/>
    </row>
    <row r="329" spans="1:14" s="3" customFormat="1" ht="12" customHeight="1" x14ac:dyDescent="0.15">
      <c r="A329" s="29" t="s">
        <v>361</v>
      </c>
      <c r="B329" s="2"/>
      <c r="C329" s="6"/>
      <c r="D329" s="6"/>
      <c r="E329" s="6"/>
      <c r="F329" s="177" t="s">
        <v>693</v>
      </c>
      <c r="G329" s="177" t="s">
        <v>694</v>
      </c>
      <c r="H329" s="177" t="s">
        <v>695</v>
      </c>
      <c r="I329" s="177" t="s">
        <v>696</v>
      </c>
      <c r="J329" s="177" t="s">
        <v>697</v>
      </c>
      <c r="K329" s="177" t="s">
        <v>698</v>
      </c>
      <c r="L329" s="19"/>
      <c r="M329" s="8"/>
      <c r="N329" s="272"/>
    </row>
    <row r="330" spans="1:14" s="3" customFormat="1" ht="12" customHeight="1" x14ac:dyDescent="0.15">
      <c r="A330" s="29" t="s">
        <v>362</v>
      </c>
      <c r="F330" s="103" t="s">
        <v>54</v>
      </c>
      <c r="G330" s="103" t="s">
        <v>55</v>
      </c>
      <c r="H330" s="103" t="s">
        <v>56</v>
      </c>
      <c r="I330" s="103" t="s">
        <v>57</v>
      </c>
      <c r="J330" s="103" t="s">
        <v>58</v>
      </c>
      <c r="K330" s="103" t="s">
        <v>59</v>
      </c>
      <c r="L330" s="103" t="s">
        <v>5</v>
      </c>
      <c r="M330" s="8"/>
      <c r="N330" s="272"/>
    </row>
    <row r="331" spans="1:14" s="3" customFormat="1" ht="12" customHeight="1" x14ac:dyDescent="0.15">
      <c r="A331" s="1" t="s">
        <v>660</v>
      </c>
      <c r="B331" s="6">
        <v>14</v>
      </c>
      <c r="C331" s="2" t="s">
        <v>290</v>
      </c>
      <c r="D331" s="2" t="s">
        <v>432</v>
      </c>
      <c r="E331" s="6">
        <v>1500</v>
      </c>
      <c r="F331" s="18"/>
      <c r="G331" s="18"/>
      <c r="H331" s="18"/>
      <c r="I331" s="18"/>
      <c r="J331" s="18"/>
      <c r="K331" s="18"/>
      <c r="L331" s="19">
        <f t="shared" ref="L331:L336" si="18">SUM(F331:K331)</f>
        <v>0</v>
      </c>
      <c r="M331" s="8"/>
      <c r="N331" s="272"/>
    </row>
    <row r="332" spans="1:14" s="3" customFormat="1" ht="12" customHeight="1" x14ac:dyDescent="0.15">
      <c r="A332" s="1" t="s">
        <v>354</v>
      </c>
      <c r="B332" s="6">
        <v>14</v>
      </c>
      <c r="C332" s="2" t="s">
        <v>310</v>
      </c>
      <c r="D332" s="2" t="s">
        <v>432</v>
      </c>
      <c r="E332" s="6">
        <v>1600</v>
      </c>
      <c r="F332" s="18"/>
      <c r="G332" s="18"/>
      <c r="H332" s="18"/>
      <c r="I332" s="18"/>
      <c r="J332" s="18"/>
      <c r="K332" s="18"/>
      <c r="L332" s="19">
        <f t="shared" si="18"/>
        <v>0</v>
      </c>
      <c r="M332" s="8"/>
      <c r="N332" s="272"/>
    </row>
    <row r="333" spans="1:14" s="3" customFormat="1" ht="12" customHeight="1" x14ac:dyDescent="0.15">
      <c r="A333" s="1" t="s">
        <v>585</v>
      </c>
      <c r="B333" s="6">
        <v>14</v>
      </c>
      <c r="C333" s="2" t="s">
        <v>316</v>
      </c>
      <c r="D333" s="2" t="s">
        <v>432</v>
      </c>
      <c r="E333" s="6">
        <v>1700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586</v>
      </c>
      <c r="B334" s="6">
        <v>14</v>
      </c>
      <c r="C334" s="2" t="s">
        <v>322</v>
      </c>
      <c r="D334" s="2" t="s">
        <v>432</v>
      </c>
      <c r="E334" s="6">
        <v>1800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thickBot="1" x14ac:dyDescent="0.2">
      <c r="A335" s="1" t="s">
        <v>587</v>
      </c>
      <c r="B335" s="6">
        <v>14</v>
      </c>
      <c r="C335" s="37">
        <v>5</v>
      </c>
      <c r="D335" s="2" t="s">
        <v>432</v>
      </c>
      <c r="E335" s="6">
        <v>4000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Top="1" thickBot="1" x14ac:dyDescent="0.2">
      <c r="A336" s="50" t="s">
        <v>468</v>
      </c>
      <c r="B336" s="40">
        <v>14</v>
      </c>
      <c r="C336" s="51">
        <v>6</v>
      </c>
      <c r="D336" s="48" t="s">
        <v>432</v>
      </c>
      <c r="E336" s="51"/>
      <c r="F336" s="41">
        <f t="shared" ref="F336:K336" si="19">SUM(F331:F335)</f>
        <v>0</v>
      </c>
      <c r="G336" s="41">
        <f t="shared" si="19"/>
        <v>0</v>
      </c>
      <c r="H336" s="41">
        <f t="shared" si="19"/>
        <v>0</v>
      </c>
      <c r="I336" s="41">
        <f t="shared" si="19"/>
        <v>0</v>
      </c>
      <c r="J336" s="41">
        <f t="shared" si="19"/>
        <v>0</v>
      </c>
      <c r="K336" s="41">
        <f t="shared" si="19"/>
        <v>0</v>
      </c>
      <c r="L336" s="41">
        <f t="shared" si="18"/>
        <v>0</v>
      </c>
      <c r="M336" s="8"/>
      <c r="N336" s="272"/>
    </row>
    <row r="337" spans="1:43" s="3" customFormat="1" ht="12" customHeight="1" thickTop="1" x14ac:dyDescent="0.15">
      <c r="A337" s="38" t="s">
        <v>469</v>
      </c>
      <c r="B337" s="40">
        <v>14</v>
      </c>
      <c r="C337" s="40">
        <v>7</v>
      </c>
      <c r="D337" s="39" t="s">
        <v>432</v>
      </c>
      <c r="E337" s="40"/>
      <c r="F337" s="41">
        <f t="shared" ref="F337:L337" si="20">F289+F308+F327+F336</f>
        <v>460561.58999999997</v>
      </c>
      <c r="G337" s="41">
        <f t="shared" si="20"/>
        <v>183940.65000000002</v>
      </c>
      <c r="H337" s="41">
        <f t="shared" si="20"/>
        <v>230607.43</v>
      </c>
      <c r="I337" s="41">
        <f t="shared" si="20"/>
        <v>95307.930000000008</v>
      </c>
      <c r="J337" s="41">
        <f t="shared" si="20"/>
        <v>27790.449999999997</v>
      </c>
      <c r="K337" s="41">
        <f t="shared" si="20"/>
        <v>6073.6</v>
      </c>
      <c r="L337" s="41">
        <f t="shared" si="20"/>
        <v>1004281.6499999999</v>
      </c>
      <c r="M337" s="8"/>
      <c r="N337" s="272"/>
    </row>
    <row r="338" spans="1:43" s="3" customFormat="1" ht="12" customHeight="1" x14ac:dyDescent="0.15">
      <c r="A338" s="29" t="s">
        <v>355</v>
      </c>
      <c r="F338" s="18"/>
      <c r="G338" s="18"/>
      <c r="H338" s="18"/>
      <c r="I338" s="18"/>
      <c r="J338" s="18"/>
      <c r="K338" s="18"/>
      <c r="L338" s="19"/>
      <c r="M338" s="8"/>
      <c r="N338" s="272"/>
    </row>
    <row r="339" spans="1:43" s="3" customFormat="1" ht="12" customHeight="1" x14ac:dyDescent="0.15">
      <c r="A339" s="30" t="s">
        <v>464</v>
      </c>
      <c r="E339" s="6">
        <v>5100</v>
      </c>
      <c r="F339" s="24" t="s">
        <v>289</v>
      </c>
      <c r="G339" s="24" t="s">
        <v>289</v>
      </c>
      <c r="H339" s="24" t="s">
        <v>289</v>
      </c>
      <c r="I339" s="24" t="s">
        <v>289</v>
      </c>
      <c r="J339" s="24" t="s">
        <v>289</v>
      </c>
      <c r="K339" s="24" t="s">
        <v>289</v>
      </c>
      <c r="L339" s="24" t="s">
        <v>289</v>
      </c>
      <c r="M339" s="8"/>
      <c r="N339" s="272"/>
    </row>
    <row r="340" spans="1:43" s="3" customFormat="1" ht="12" customHeight="1" x14ac:dyDescent="0.15">
      <c r="A340" s="1" t="s">
        <v>523</v>
      </c>
      <c r="B340" s="6">
        <v>14</v>
      </c>
      <c r="C340" s="37">
        <v>8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18"/>
      <c r="L340" s="19">
        <f>SUM(F340:K340)</f>
        <v>0</v>
      </c>
      <c r="M340" s="8"/>
      <c r="N340" s="272"/>
    </row>
    <row r="341" spans="1:43" s="3" customFormat="1" ht="12" customHeight="1" x14ac:dyDescent="0.15">
      <c r="A341" s="1" t="s">
        <v>535</v>
      </c>
      <c r="B341" s="6">
        <v>14</v>
      </c>
      <c r="C341" s="37">
        <v>9</v>
      </c>
      <c r="E341" s="6">
        <v>5120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12" customFormat="1" ht="12" customHeight="1" thickBot="1" x14ac:dyDescent="0.25">
      <c r="A342" s="27" t="s">
        <v>357</v>
      </c>
      <c r="B342" s="6">
        <v>14</v>
      </c>
      <c r="C342" s="3"/>
      <c r="D342" s="3"/>
      <c r="E342" s="6">
        <v>5200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24" t="s">
        <v>289</v>
      </c>
      <c r="L342" s="24" t="s">
        <v>289</v>
      </c>
      <c r="M342" s="52"/>
      <c r="N342" s="271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  <c r="AB342" s="52"/>
      <c r="AC342" s="52"/>
      <c r="AD342" s="52"/>
      <c r="AE342" s="52"/>
      <c r="AF342" s="52"/>
      <c r="AG342" s="52"/>
      <c r="AH342" s="52"/>
      <c r="AI342" s="52"/>
      <c r="AJ342" s="52"/>
      <c r="AK342" s="52"/>
      <c r="AL342" s="52"/>
      <c r="AM342" s="52"/>
      <c r="AN342" s="52"/>
      <c r="AO342" s="52"/>
      <c r="AP342" s="52"/>
      <c r="AQ342" s="52"/>
    </row>
    <row r="343" spans="1:43" s="3" customFormat="1" ht="12" customHeight="1" x14ac:dyDescent="0.15">
      <c r="A343" s="3" t="s">
        <v>541</v>
      </c>
      <c r="B343" s="6">
        <v>14</v>
      </c>
      <c r="C343" s="6">
        <v>10</v>
      </c>
      <c r="D343" s="2" t="s">
        <v>432</v>
      </c>
      <c r="E343" s="6">
        <v>5210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18">
        <v>41873.75</v>
      </c>
      <c r="L343" s="19">
        <f t="shared" ref="L343:L349" si="21">SUM(F343:K343)</f>
        <v>41873.75</v>
      </c>
      <c r="M343" s="8"/>
      <c r="N343" s="272"/>
    </row>
    <row r="344" spans="1:43" s="3" customFormat="1" ht="12" customHeight="1" x14ac:dyDescent="0.15">
      <c r="A344" s="1" t="s">
        <v>606</v>
      </c>
      <c r="B344" s="6">
        <v>14</v>
      </c>
      <c r="C344" s="6">
        <v>11</v>
      </c>
      <c r="D344" s="2" t="s">
        <v>432</v>
      </c>
      <c r="E344" s="6">
        <v>5221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si="21"/>
        <v>0</v>
      </c>
      <c r="M344" s="8"/>
      <c r="N344" s="272"/>
    </row>
    <row r="345" spans="1:43" s="3" customFormat="1" ht="12" customHeight="1" x14ac:dyDescent="0.15">
      <c r="A345" s="1" t="s">
        <v>542</v>
      </c>
      <c r="B345" s="6">
        <v>14</v>
      </c>
      <c r="C345" s="6">
        <v>12</v>
      </c>
      <c r="D345" s="2" t="s">
        <v>432</v>
      </c>
      <c r="E345" s="6">
        <v>5230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3" t="s">
        <v>543</v>
      </c>
      <c r="B346" s="6">
        <v>14</v>
      </c>
      <c r="C346" s="6">
        <v>13</v>
      </c>
      <c r="D346" s="2" t="s">
        <v>432</v>
      </c>
      <c r="E346" s="6">
        <v>5250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>
        <v>0</v>
      </c>
      <c r="L346" s="19">
        <f t="shared" si="21"/>
        <v>0</v>
      </c>
      <c r="M346" s="8"/>
      <c r="N346" s="272"/>
    </row>
    <row r="347" spans="1:43" s="3" customFormat="1" ht="12" customHeight="1" x14ac:dyDescent="0.15">
      <c r="A347" s="27" t="s">
        <v>563</v>
      </c>
      <c r="B347" s="2"/>
      <c r="C347" s="6"/>
      <c r="D347" s="6"/>
      <c r="E347" s="6">
        <v>5300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24" t="s">
        <v>289</v>
      </c>
      <c r="L347" s="24" t="s">
        <v>289</v>
      </c>
      <c r="M347" s="8"/>
      <c r="N347" s="272"/>
    </row>
    <row r="348" spans="1:43" s="3" customFormat="1" ht="12" customHeight="1" x14ac:dyDescent="0.15">
      <c r="A348" s="1" t="s">
        <v>539</v>
      </c>
      <c r="B348" s="6">
        <v>14</v>
      </c>
      <c r="C348" s="6">
        <v>14</v>
      </c>
      <c r="D348" s="2" t="s">
        <v>432</v>
      </c>
      <c r="E348" s="6">
        <v>5310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18"/>
      <c r="L348" s="19">
        <f t="shared" si="21"/>
        <v>0</v>
      </c>
      <c r="M348" s="8"/>
      <c r="N348" s="272"/>
    </row>
    <row r="349" spans="1:43" s="3" customFormat="1" ht="12" customHeight="1" thickBot="1" x14ac:dyDescent="0.2">
      <c r="A349" s="1" t="s">
        <v>540</v>
      </c>
      <c r="B349" s="6">
        <v>14</v>
      </c>
      <c r="C349" s="37">
        <v>15</v>
      </c>
      <c r="D349" s="2" t="s">
        <v>432</v>
      </c>
      <c r="E349" s="6">
        <v>5390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Top="1" thickBot="1" x14ac:dyDescent="0.2">
      <c r="A350" s="46" t="s">
        <v>421</v>
      </c>
      <c r="B350" s="40">
        <v>14</v>
      </c>
      <c r="C350" s="51">
        <v>16</v>
      </c>
      <c r="D350" s="39" t="s">
        <v>432</v>
      </c>
      <c r="E350" s="40"/>
      <c r="F350" s="45" t="s">
        <v>289</v>
      </c>
      <c r="G350" s="45" t="s">
        <v>289</v>
      </c>
      <c r="H350" s="45" t="s">
        <v>289</v>
      </c>
      <c r="I350" s="45" t="s">
        <v>289</v>
      </c>
      <c r="J350" s="45" t="s">
        <v>289</v>
      </c>
      <c r="K350" s="41">
        <f>SUM(K340:K349)</f>
        <v>41873.75</v>
      </c>
      <c r="L350" s="41">
        <f>SUM(L340:L349)</f>
        <v>41873.75</v>
      </c>
      <c r="M350" s="8"/>
      <c r="N350" s="272"/>
    </row>
    <row r="351" spans="1:43" s="12" customFormat="1" ht="12" customHeight="1" thickTop="1" thickBot="1" x14ac:dyDescent="0.25">
      <c r="A351" s="38" t="s">
        <v>470</v>
      </c>
      <c r="B351" s="40">
        <v>14</v>
      </c>
      <c r="C351" s="40">
        <v>17</v>
      </c>
      <c r="D351" s="39" t="s">
        <v>432</v>
      </c>
      <c r="E351" s="40"/>
      <c r="F351" s="41">
        <f>F337</f>
        <v>460561.58999999997</v>
      </c>
      <c r="G351" s="41">
        <f>G337</f>
        <v>183940.65000000002</v>
      </c>
      <c r="H351" s="41">
        <f>H337</f>
        <v>230607.43</v>
      </c>
      <c r="I351" s="41">
        <f>I337</f>
        <v>95307.930000000008</v>
      </c>
      <c r="J351" s="41">
        <f>J337</f>
        <v>27790.449999999997</v>
      </c>
      <c r="K351" s="47">
        <f>K337+K350</f>
        <v>47947.35</v>
      </c>
      <c r="L351" s="41">
        <f>L337+L350</f>
        <v>1046155.3999999999</v>
      </c>
      <c r="M351" s="52"/>
      <c r="N351" s="271"/>
      <c r="O351" s="52"/>
      <c r="P351" s="52"/>
      <c r="Q351" s="52"/>
      <c r="AH351" s="52"/>
      <c r="AI351" s="52"/>
      <c r="AJ351" s="52"/>
      <c r="AK351" s="52"/>
      <c r="AL351" s="52"/>
      <c r="AM351" s="52"/>
      <c r="AN351" s="52"/>
      <c r="AO351" s="52"/>
      <c r="AP351" s="52"/>
      <c r="AQ351" s="52"/>
    </row>
    <row r="352" spans="1:43" s="3" customFormat="1" ht="12" customHeight="1" x14ac:dyDescent="0.15">
      <c r="A352" s="70"/>
      <c r="B352" s="37"/>
      <c r="C352" s="23"/>
      <c r="D352" s="23"/>
      <c r="E352" s="23"/>
      <c r="F352" s="67"/>
      <c r="G352" s="67"/>
      <c r="H352" s="67"/>
      <c r="I352" s="67"/>
      <c r="J352" s="67"/>
      <c r="K352" s="56"/>
      <c r="L352" s="67"/>
      <c r="M352" s="8"/>
      <c r="N352" s="272"/>
    </row>
    <row r="353" spans="1:14" s="3" customFormat="1" ht="12" customHeight="1" x14ac:dyDescent="0.2">
      <c r="A353" s="54"/>
      <c r="B353" s="52"/>
      <c r="C353" s="52"/>
      <c r="D353" s="52"/>
      <c r="E353" s="52"/>
      <c r="F353" s="177" t="s">
        <v>693</v>
      </c>
      <c r="G353" s="177" t="s">
        <v>694</v>
      </c>
      <c r="H353" s="177" t="s">
        <v>695</v>
      </c>
      <c r="I353" s="177" t="s">
        <v>696</v>
      </c>
      <c r="J353" s="177" t="s">
        <v>697</v>
      </c>
      <c r="K353" s="177" t="s">
        <v>698</v>
      </c>
      <c r="L353" s="53"/>
      <c r="M353" s="8"/>
      <c r="N353" s="272"/>
    </row>
    <row r="354" spans="1:14" s="3" customFormat="1" ht="12" customHeight="1" x14ac:dyDescent="0.15">
      <c r="A354" s="29" t="s">
        <v>282</v>
      </c>
      <c r="F354" s="103" t="s">
        <v>54</v>
      </c>
      <c r="G354" s="103" t="s">
        <v>55</v>
      </c>
      <c r="H354" s="103" t="s">
        <v>56</v>
      </c>
      <c r="I354" s="103" t="s">
        <v>57</v>
      </c>
      <c r="J354" s="103" t="s">
        <v>58</v>
      </c>
      <c r="K354" s="103" t="s">
        <v>59</v>
      </c>
      <c r="L354" s="103" t="s">
        <v>5</v>
      </c>
      <c r="M354" s="8"/>
      <c r="N354" s="272"/>
    </row>
    <row r="355" spans="1:14" s="3" customFormat="1" ht="12" customHeight="1" x14ac:dyDescent="0.15">
      <c r="A355" s="27" t="s">
        <v>461</v>
      </c>
      <c r="B355" s="7"/>
      <c r="C355" s="7"/>
      <c r="D355" s="7"/>
      <c r="E355" s="6">
        <v>3000</v>
      </c>
      <c r="F355" s="24" t="s">
        <v>289</v>
      </c>
      <c r="G355" s="24" t="s">
        <v>289</v>
      </c>
      <c r="H355" s="24" t="s">
        <v>289</v>
      </c>
      <c r="I355" s="24" t="s">
        <v>289</v>
      </c>
      <c r="J355" s="24" t="s">
        <v>289</v>
      </c>
      <c r="K355" s="24" t="s">
        <v>289</v>
      </c>
      <c r="L355" s="24" t="s">
        <v>289</v>
      </c>
      <c r="M355" s="8"/>
      <c r="N355" s="272"/>
    </row>
    <row r="356" spans="1:14" s="3" customFormat="1" ht="12" customHeight="1" x14ac:dyDescent="0.15">
      <c r="A356" s="30" t="s">
        <v>365</v>
      </c>
      <c r="B356" s="2"/>
      <c r="C356" s="2"/>
      <c r="D356" s="2"/>
      <c r="E356" s="6">
        <v>3100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14" ht="12" customHeight="1" x14ac:dyDescent="0.2">
      <c r="A357" s="3" t="s">
        <v>544</v>
      </c>
      <c r="B357" s="2" t="s">
        <v>367</v>
      </c>
      <c r="C357" s="6">
        <v>1</v>
      </c>
      <c r="D357" s="2" t="s">
        <v>432</v>
      </c>
      <c r="E357" s="6"/>
      <c r="F357" s="18">
        <v>147441.76999999999</v>
      </c>
      <c r="G357" s="18">
        <v>79272.429999999993</v>
      </c>
      <c r="H357" s="18">
        <v>2147.65</v>
      </c>
      <c r="I357" s="18">
        <v>140382.37</v>
      </c>
      <c r="J357" s="18">
        <v>5839.9</v>
      </c>
      <c r="K357" s="18">
        <v>3434.82</v>
      </c>
      <c r="L357" s="13">
        <f>SUM(F357:K357)</f>
        <v>378518.94</v>
      </c>
      <c r="N357" s="270"/>
    </row>
    <row r="358" spans="1:14" s="3" customFormat="1" ht="12" customHeight="1" x14ac:dyDescent="0.15">
      <c r="A358" s="1" t="s">
        <v>545</v>
      </c>
      <c r="B358" s="2" t="s">
        <v>367</v>
      </c>
      <c r="C358" s="6">
        <v>2</v>
      </c>
      <c r="D358" s="2" t="s">
        <v>432</v>
      </c>
      <c r="E358" s="6"/>
      <c r="F358" s="18"/>
      <c r="G358" s="18"/>
      <c r="H358" s="18"/>
      <c r="I358" s="18"/>
      <c r="J358" s="18"/>
      <c r="K358" s="18"/>
      <c r="L358" s="19">
        <f>SUM(F358:K358)</f>
        <v>0</v>
      </c>
      <c r="M358" s="8"/>
      <c r="N358" s="272"/>
    </row>
    <row r="359" spans="1:14" s="3" customFormat="1" ht="12" customHeight="1" x14ac:dyDescent="0.15">
      <c r="A359" s="3" t="s">
        <v>546</v>
      </c>
      <c r="B359" s="2" t="s">
        <v>367</v>
      </c>
      <c r="C359" s="6">
        <v>3</v>
      </c>
      <c r="D359" s="2" t="s">
        <v>432</v>
      </c>
      <c r="E359" s="6"/>
      <c r="F359" s="18">
        <v>54024.94</v>
      </c>
      <c r="G359" s="18">
        <v>19723.37</v>
      </c>
      <c r="H359" s="18">
        <v>1015.8</v>
      </c>
      <c r="I359" s="18">
        <v>86899.81</v>
      </c>
      <c r="J359" s="18">
        <v>2854.28</v>
      </c>
      <c r="K359" s="18">
        <v>1824.91</v>
      </c>
      <c r="L359" s="19">
        <f>SUM(F359:K359)</f>
        <v>166343.10999999999</v>
      </c>
      <c r="M359" s="8"/>
      <c r="N359" s="272"/>
    </row>
    <row r="360" spans="1:14" s="3" customFormat="1" ht="12" customHeight="1" thickBot="1" x14ac:dyDescent="0.2">
      <c r="A360" s="1" t="s">
        <v>369</v>
      </c>
      <c r="B360" s="2" t="s">
        <v>367</v>
      </c>
      <c r="C360" s="6">
        <v>4</v>
      </c>
      <c r="D360" s="2" t="s">
        <v>432</v>
      </c>
      <c r="E360" s="6">
        <v>5200</v>
      </c>
      <c r="F360" s="24" t="s">
        <v>289</v>
      </c>
      <c r="G360" s="24" t="s">
        <v>289</v>
      </c>
      <c r="H360" s="24" t="s">
        <v>289</v>
      </c>
      <c r="I360" s="24" t="s">
        <v>289</v>
      </c>
      <c r="J360" s="24" t="s">
        <v>289</v>
      </c>
      <c r="K360" s="18"/>
      <c r="L360" s="13">
        <f>SUM(F360:K360)</f>
        <v>0</v>
      </c>
      <c r="M360" s="8"/>
      <c r="N360" s="272"/>
    </row>
    <row r="361" spans="1:14" s="3" customFormat="1" ht="12" customHeight="1" thickTop="1" x14ac:dyDescent="0.15">
      <c r="A361" s="46" t="s">
        <v>470</v>
      </c>
      <c r="B361" s="39" t="s">
        <v>367</v>
      </c>
      <c r="C361" s="40">
        <v>5</v>
      </c>
      <c r="D361" s="39" t="s">
        <v>432</v>
      </c>
      <c r="E361" s="40"/>
      <c r="F361" s="47">
        <f t="shared" ref="F361:L361" si="22">SUM(F357:F360)</f>
        <v>201466.71</v>
      </c>
      <c r="G361" s="47">
        <f t="shared" si="22"/>
        <v>98995.799999999988</v>
      </c>
      <c r="H361" s="47">
        <f t="shared" si="22"/>
        <v>3163.45</v>
      </c>
      <c r="I361" s="47">
        <f t="shared" si="22"/>
        <v>227282.18</v>
      </c>
      <c r="J361" s="47">
        <f t="shared" si="22"/>
        <v>8694.18</v>
      </c>
      <c r="K361" s="47">
        <f t="shared" si="22"/>
        <v>5259.7300000000005</v>
      </c>
      <c r="L361" s="47">
        <f t="shared" si="22"/>
        <v>544862.05000000005</v>
      </c>
      <c r="M361" s="8"/>
      <c r="N361" s="272"/>
    </row>
    <row r="362" spans="1:14" s="3" customFormat="1" ht="12" customHeight="1" x14ac:dyDescent="0.15">
      <c r="A362" s="55"/>
      <c r="B362" s="36"/>
      <c r="C362" s="37"/>
      <c r="D362" s="37"/>
      <c r="E362" s="37"/>
      <c r="F362" s="56"/>
      <c r="G362" s="56"/>
      <c r="H362" s="56"/>
      <c r="I362" s="56"/>
      <c r="J362" s="56"/>
      <c r="K362" s="56"/>
      <c r="L362" s="56"/>
      <c r="M362" s="8"/>
      <c r="N362" s="272"/>
    </row>
    <row r="363" spans="1:14" s="3" customFormat="1" ht="12" customHeight="1" x14ac:dyDescent="0.15">
      <c r="A363" s="55" t="s">
        <v>370</v>
      </c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14" s="3" customFormat="1" ht="12" customHeight="1" x14ac:dyDescent="0.15">
      <c r="A364" s="55"/>
      <c r="B364" s="36"/>
      <c r="C364" s="37"/>
      <c r="D364" s="37"/>
      <c r="E364" s="37"/>
      <c r="F364" s="57" t="s">
        <v>265</v>
      </c>
      <c r="G364" s="57" t="s">
        <v>266</v>
      </c>
      <c r="H364" s="57" t="s">
        <v>267</v>
      </c>
      <c r="I364" s="57" t="s">
        <v>268</v>
      </c>
      <c r="J364" s="56"/>
      <c r="K364" s="56"/>
      <c r="L364" s="56"/>
      <c r="M364" s="8"/>
      <c r="N364" s="272"/>
    </row>
    <row r="365" spans="1:14" s="3" customFormat="1" ht="12" customHeight="1" x14ac:dyDescent="0.15">
      <c r="A365" s="55"/>
      <c r="B365" s="36"/>
      <c r="C365" s="37"/>
      <c r="D365" s="37"/>
      <c r="E365" s="37"/>
      <c r="F365" s="59" t="s">
        <v>366</v>
      </c>
      <c r="G365" s="60" t="s">
        <v>371</v>
      </c>
      <c r="H365" s="60" t="s">
        <v>368</v>
      </c>
      <c r="I365" s="60" t="s">
        <v>341</v>
      </c>
      <c r="J365" s="24" t="s">
        <v>289</v>
      </c>
      <c r="K365" s="24" t="s">
        <v>289</v>
      </c>
      <c r="L365" s="24" t="s">
        <v>289</v>
      </c>
      <c r="M365" s="8"/>
      <c r="N365" s="272"/>
    </row>
    <row r="366" spans="1:14" s="3" customFormat="1" ht="12" customHeight="1" x14ac:dyDescent="0.15">
      <c r="A366" s="58" t="s">
        <v>372</v>
      </c>
      <c r="B366" s="2" t="s">
        <v>367</v>
      </c>
      <c r="C366" s="2" t="s">
        <v>296</v>
      </c>
      <c r="D366" s="2" t="s">
        <v>433</v>
      </c>
      <c r="E366" s="2"/>
      <c r="F366" s="18">
        <v>132014.95000000001</v>
      </c>
      <c r="G366" s="18"/>
      <c r="H366" s="18">
        <v>81996.86</v>
      </c>
      <c r="I366" s="56">
        <f>SUM(F366:H366)</f>
        <v>214011.81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14" s="3" customFormat="1" ht="12" customHeight="1" thickBot="1" x14ac:dyDescent="0.2">
      <c r="A367" s="61" t="s">
        <v>373</v>
      </c>
      <c r="B367" s="62" t="s">
        <v>367</v>
      </c>
      <c r="C367" s="62" t="s">
        <v>297</v>
      </c>
      <c r="D367" s="2" t="s">
        <v>433</v>
      </c>
      <c r="E367" s="62"/>
      <c r="F367" s="63">
        <v>8367.42</v>
      </c>
      <c r="G367" s="63"/>
      <c r="H367" s="63">
        <v>4902.95</v>
      </c>
      <c r="I367" s="56">
        <f>SUM(F367:H367)</f>
        <v>13270.369999999999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14" s="3" customFormat="1" ht="12" customHeight="1" thickTop="1" x14ac:dyDescent="0.15">
      <c r="A368" s="34" t="s">
        <v>341</v>
      </c>
      <c r="B368" s="2" t="s">
        <v>367</v>
      </c>
      <c r="C368" s="2" t="s">
        <v>298</v>
      </c>
      <c r="D368" s="39" t="s">
        <v>433</v>
      </c>
      <c r="E368" s="2"/>
      <c r="F368" s="47">
        <f>SUM(F366:F367)</f>
        <v>140382.37000000002</v>
      </c>
      <c r="G368" s="47">
        <f>SUM(G366:G367)</f>
        <v>0</v>
      </c>
      <c r="H368" s="47">
        <f>SUM(H366:H367)</f>
        <v>86899.81</v>
      </c>
      <c r="I368" s="47">
        <f>SUM(I366:I367)</f>
        <v>227282.18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x14ac:dyDescent="0.15">
      <c r="A369" s="34"/>
      <c r="B369" s="2"/>
      <c r="C369" s="2"/>
      <c r="D369" s="2"/>
      <c r="E369" s="2"/>
      <c r="F369" s="64"/>
      <c r="G369" s="64"/>
      <c r="H369" s="64"/>
      <c r="I369" s="56"/>
      <c r="J369" s="56"/>
      <c r="K369" s="56"/>
      <c r="L369" s="56"/>
      <c r="M369" s="8"/>
      <c r="N369" s="272"/>
    </row>
    <row r="370" spans="1:14" s="3" customFormat="1" ht="12" customHeight="1" x14ac:dyDescent="0.15">
      <c r="A370" s="34" t="s">
        <v>284</v>
      </c>
      <c r="B370" s="2"/>
      <c r="C370" s="2"/>
      <c r="D370" s="2"/>
      <c r="E370" s="2"/>
      <c r="F370" s="177" t="s">
        <v>693</v>
      </c>
      <c r="G370" s="177" t="s">
        <v>694</v>
      </c>
      <c r="H370" s="177" t="s">
        <v>695</v>
      </c>
      <c r="I370" s="177" t="s">
        <v>696</v>
      </c>
      <c r="J370" s="177" t="s">
        <v>697</v>
      </c>
      <c r="K370" s="177" t="s">
        <v>698</v>
      </c>
      <c r="L370" s="13"/>
      <c r="M370" s="8"/>
      <c r="N370" s="272"/>
    </row>
    <row r="371" spans="1:14" s="3" customFormat="1" ht="12" customHeight="1" x14ac:dyDescent="0.15">
      <c r="A371" s="34" t="s">
        <v>364</v>
      </c>
      <c r="B371" s="2"/>
      <c r="C371" s="2"/>
      <c r="D371" s="2"/>
      <c r="E371" s="2"/>
      <c r="F371" s="103" t="s">
        <v>54</v>
      </c>
      <c r="G371" s="103" t="s">
        <v>55</v>
      </c>
      <c r="H371" s="103" t="s">
        <v>56</v>
      </c>
      <c r="I371" s="103" t="s">
        <v>57</v>
      </c>
      <c r="J371" s="103" t="s">
        <v>58</v>
      </c>
      <c r="K371" s="103" t="s">
        <v>59</v>
      </c>
      <c r="L371" s="103" t="s">
        <v>5</v>
      </c>
      <c r="M371" s="8"/>
      <c r="N371" s="272"/>
    </row>
    <row r="372" spans="1:14" s="3" customFormat="1" ht="12" customHeight="1" x14ac:dyDescent="0.15">
      <c r="A372" s="27" t="s">
        <v>374</v>
      </c>
      <c r="B372" s="2"/>
      <c r="C372" s="2"/>
      <c r="D372" s="2"/>
      <c r="E372" s="6">
        <v>4000</v>
      </c>
      <c r="F372" s="24" t="s">
        <v>289</v>
      </c>
      <c r="G372" s="24" t="s">
        <v>289</v>
      </c>
      <c r="H372" s="24" t="s">
        <v>289</v>
      </c>
      <c r="I372" s="24" t="s">
        <v>289</v>
      </c>
      <c r="J372" s="24" t="s">
        <v>289</v>
      </c>
      <c r="K372" s="24" t="s">
        <v>289</v>
      </c>
      <c r="L372" s="24" t="s">
        <v>289</v>
      </c>
      <c r="M372" s="8"/>
      <c r="N372" s="272"/>
    </row>
    <row r="373" spans="1:14" s="3" customFormat="1" ht="12" customHeight="1" x14ac:dyDescent="0.15">
      <c r="A373" s="1" t="s">
        <v>547</v>
      </c>
      <c r="B373" s="2" t="s">
        <v>367</v>
      </c>
      <c r="C373" s="2" t="s">
        <v>299</v>
      </c>
      <c r="D373" s="2" t="s">
        <v>432</v>
      </c>
      <c r="E373" s="6">
        <v>4100</v>
      </c>
      <c r="F373" s="18"/>
      <c r="G373" s="18"/>
      <c r="H373" s="18"/>
      <c r="I373" s="18"/>
      <c r="J373" s="18"/>
      <c r="K373" s="18"/>
      <c r="L373" s="13">
        <f>SUM(F373:K373)</f>
        <v>0</v>
      </c>
      <c r="M373" s="8"/>
      <c r="N373" s="272"/>
    </row>
    <row r="374" spans="1:14" s="3" customFormat="1" ht="12" customHeight="1" x14ac:dyDescent="0.15">
      <c r="A374" s="1" t="s">
        <v>548</v>
      </c>
      <c r="B374" s="2" t="s">
        <v>367</v>
      </c>
      <c r="C374" s="2" t="s">
        <v>300</v>
      </c>
      <c r="D374" s="2" t="s">
        <v>432</v>
      </c>
      <c r="E374" s="6">
        <v>4200</v>
      </c>
      <c r="F374" s="18"/>
      <c r="G374" s="18"/>
      <c r="H374" s="18"/>
      <c r="I374" s="18"/>
      <c r="J374" s="18"/>
      <c r="K374" s="18"/>
      <c r="L374" s="13">
        <f t="shared" ref="L374:L380" si="23">SUM(F374:K374)</f>
        <v>0</v>
      </c>
      <c r="M374" s="8"/>
      <c r="N374" s="272"/>
    </row>
    <row r="375" spans="1:14" s="3" customFormat="1" ht="12" customHeight="1" x14ac:dyDescent="0.15">
      <c r="A375" s="1" t="s">
        <v>549</v>
      </c>
      <c r="B375" s="2" t="s">
        <v>367</v>
      </c>
      <c r="C375" s="2" t="s">
        <v>301</v>
      </c>
      <c r="D375" s="2" t="s">
        <v>432</v>
      </c>
      <c r="E375" s="6">
        <v>4300</v>
      </c>
      <c r="F375" s="18"/>
      <c r="G375" s="18"/>
      <c r="H375" s="18"/>
      <c r="I375" s="18"/>
      <c r="J375" s="18"/>
      <c r="K375" s="18"/>
      <c r="L375" s="13">
        <f t="shared" si="23"/>
        <v>0</v>
      </c>
      <c r="M375" s="8"/>
      <c r="N375" s="272"/>
    </row>
    <row r="376" spans="1:14" s="3" customFormat="1" ht="12" customHeight="1" x14ac:dyDescent="0.15">
      <c r="A376" s="1" t="s">
        <v>550</v>
      </c>
      <c r="B376" s="2" t="s">
        <v>367</v>
      </c>
      <c r="C376" s="2" t="s">
        <v>344</v>
      </c>
      <c r="D376" s="2" t="s">
        <v>432</v>
      </c>
      <c r="E376" s="6">
        <v>4400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551</v>
      </c>
      <c r="B377" s="2" t="s">
        <v>367</v>
      </c>
      <c r="C377" s="2" t="s">
        <v>345</v>
      </c>
      <c r="D377" s="2" t="s">
        <v>432</v>
      </c>
      <c r="E377" s="6">
        <v>4500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552</v>
      </c>
      <c r="B378" s="2" t="s">
        <v>367</v>
      </c>
      <c r="C378" s="2" t="s">
        <v>346</v>
      </c>
      <c r="D378" s="2" t="s">
        <v>432</v>
      </c>
      <c r="E378" s="6">
        <v>4600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513</v>
      </c>
      <c r="B379" s="2" t="s">
        <v>367</v>
      </c>
      <c r="C379" s="2" t="s">
        <v>348</v>
      </c>
      <c r="D379" s="2" t="s">
        <v>432</v>
      </c>
      <c r="E379" s="6">
        <v>4900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thickBot="1" x14ac:dyDescent="0.2">
      <c r="A380" s="1" t="s">
        <v>369</v>
      </c>
      <c r="B380" s="2" t="s">
        <v>367</v>
      </c>
      <c r="C380" s="2" t="s">
        <v>349</v>
      </c>
      <c r="D380" s="2" t="s">
        <v>432</v>
      </c>
      <c r="E380" s="6">
        <v>5200</v>
      </c>
      <c r="F380" s="24" t="s">
        <v>289</v>
      </c>
      <c r="G380" s="24" t="s">
        <v>289</v>
      </c>
      <c r="H380" s="24" t="s">
        <v>289</v>
      </c>
      <c r="I380" s="24" t="s">
        <v>289</v>
      </c>
      <c r="J380" s="24" t="s">
        <v>289</v>
      </c>
      <c r="K380" s="18"/>
      <c r="L380" s="13">
        <f t="shared" si="23"/>
        <v>0</v>
      </c>
      <c r="M380" s="8"/>
      <c r="N380" s="272"/>
    </row>
    <row r="381" spans="1:14" s="3" customFormat="1" ht="12" customHeight="1" thickTop="1" x14ac:dyDescent="0.15">
      <c r="A381" s="46" t="s">
        <v>470</v>
      </c>
      <c r="B381" s="39" t="s">
        <v>367</v>
      </c>
      <c r="C381" s="39" t="s">
        <v>350</v>
      </c>
      <c r="D381" s="39" t="s">
        <v>432</v>
      </c>
      <c r="E381" s="39"/>
      <c r="F381" s="139">
        <f>SUM(F373:F380)</f>
        <v>0</v>
      </c>
      <c r="G381" s="139">
        <f t="shared" ref="G381:L381" si="24">SUM(G373:G380)</f>
        <v>0</v>
      </c>
      <c r="H381" s="139">
        <f t="shared" si="24"/>
        <v>0</v>
      </c>
      <c r="I381" s="41">
        <f t="shared" si="24"/>
        <v>0</v>
      </c>
      <c r="J381" s="47">
        <f t="shared" si="24"/>
        <v>0</v>
      </c>
      <c r="K381" s="47">
        <f t="shared" si="24"/>
        <v>0</v>
      </c>
      <c r="L381" s="47">
        <f t="shared" si="24"/>
        <v>0</v>
      </c>
      <c r="M381" s="8"/>
      <c r="N381" s="272"/>
    </row>
    <row r="382" spans="1:14" s="3" customFormat="1" ht="12" customHeight="1" x14ac:dyDescent="0.15">
      <c r="A382" s="29"/>
      <c r="B382" s="2"/>
      <c r="C382" s="2"/>
      <c r="D382" s="2"/>
      <c r="E382" s="2"/>
      <c r="F382" s="66"/>
      <c r="G382" s="66"/>
      <c r="H382" s="66"/>
      <c r="I382" s="67"/>
      <c r="J382" s="56"/>
      <c r="K382" s="56"/>
      <c r="L382" s="56"/>
      <c r="M382" s="8"/>
      <c r="N382" s="272"/>
    </row>
    <row r="383" spans="1:14" s="3" customFormat="1" ht="12" customHeight="1" x14ac:dyDescent="0.15">
      <c r="A383" s="26" t="s">
        <v>483</v>
      </c>
      <c r="B383" s="76"/>
      <c r="C383" s="76"/>
      <c r="D383" s="76"/>
      <c r="E383" s="76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484</v>
      </c>
      <c r="B384" s="2"/>
      <c r="C384" s="2"/>
      <c r="D384" s="2"/>
      <c r="E384" s="2"/>
      <c r="F384" s="16"/>
      <c r="G384" s="16" t="s">
        <v>375</v>
      </c>
      <c r="H384" s="16" t="s">
        <v>376</v>
      </c>
      <c r="I384" s="16" t="s">
        <v>311</v>
      </c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377</v>
      </c>
      <c r="B385" s="2"/>
      <c r="C385" s="2"/>
      <c r="D385" s="2"/>
      <c r="F385" s="16" t="s">
        <v>378</v>
      </c>
      <c r="G385" s="16" t="s">
        <v>379</v>
      </c>
      <c r="H385" s="16" t="s">
        <v>380</v>
      </c>
      <c r="I385" s="16" t="s">
        <v>381</v>
      </c>
      <c r="J385" s="56"/>
      <c r="K385" s="56"/>
      <c r="L385" s="77" t="s">
        <v>341</v>
      </c>
      <c r="M385" s="8"/>
      <c r="N385" s="272"/>
    </row>
    <row r="386" spans="1:14" s="3" customFormat="1" ht="12" customHeight="1" x14ac:dyDescent="0.15">
      <c r="A386" s="79" t="s">
        <v>553</v>
      </c>
      <c r="B386" s="2" t="s">
        <v>382</v>
      </c>
      <c r="C386" s="6">
        <v>1</v>
      </c>
      <c r="D386" s="2" t="s">
        <v>433</v>
      </c>
      <c r="F386" s="18"/>
      <c r="G386" s="18"/>
      <c r="H386" s="18"/>
      <c r="I386" s="18"/>
      <c r="J386" s="24" t="s">
        <v>289</v>
      </c>
      <c r="K386" s="24" t="s">
        <v>289</v>
      </c>
      <c r="L386" s="56">
        <f t="shared" ref="L386:L391" si="25">SUM(F386:K386)</f>
        <v>0</v>
      </c>
      <c r="M386" s="8"/>
      <c r="N386" s="272"/>
    </row>
    <row r="387" spans="1:14" s="3" customFormat="1" ht="12" customHeight="1" x14ac:dyDescent="0.15">
      <c r="A387" s="79" t="s">
        <v>554</v>
      </c>
      <c r="B387" s="2" t="s">
        <v>382</v>
      </c>
      <c r="C387" s="6">
        <v>2</v>
      </c>
      <c r="D387" s="2" t="s">
        <v>433</v>
      </c>
      <c r="E387" s="6"/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si="25"/>
        <v>0</v>
      </c>
      <c r="M387" s="8"/>
      <c r="N387" s="272"/>
    </row>
    <row r="388" spans="1:14" s="3" customFormat="1" ht="12" customHeight="1" x14ac:dyDescent="0.15">
      <c r="A388" s="79" t="s">
        <v>555</v>
      </c>
      <c r="B388" s="2" t="s">
        <v>382</v>
      </c>
      <c r="C388" s="6">
        <v>3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556</v>
      </c>
      <c r="B389" s="2" t="s">
        <v>382</v>
      </c>
      <c r="C389" s="6">
        <v>4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557</v>
      </c>
      <c r="B390" s="2" t="s">
        <v>382</v>
      </c>
      <c r="C390" s="6">
        <v>5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thickBot="1" x14ac:dyDescent="0.2">
      <c r="A391" s="79" t="s">
        <v>558</v>
      </c>
      <c r="B391" s="2" t="s">
        <v>382</v>
      </c>
      <c r="C391" s="6">
        <v>6</v>
      </c>
      <c r="D391" s="2" t="s">
        <v>433</v>
      </c>
      <c r="E391" s="6"/>
      <c r="F391" s="18"/>
      <c r="G391" s="18">
        <v>376328.04</v>
      </c>
      <c r="H391" s="18">
        <v>263.7</v>
      </c>
      <c r="I391" s="18"/>
      <c r="J391" s="24" t="s">
        <v>289</v>
      </c>
      <c r="K391" s="24" t="s">
        <v>289</v>
      </c>
      <c r="L391" s="56">
        <f t="shared" si="25"/>
        <v>376591.74</v>
      </c>
      <c r="M391" s="8"/>
      <c r="N391" s="272"/>
    </row>
    <row r="392" spans="1:14" s="3" customFormat="1" ht="12" customHeight="1" thickTop="1" x14ac:dyDescent="0.15">
      <c r="A392" s="160" t="s">
        <v>472</v>
      </c>
      <c r="B392" s="2" t="s">
        <v>382</v>
      </c>
      <c r="C392" s="6">
        <v>7</v>
      </c>
      <c r="D392" s="2" t="s">
        <v>433</v>
      </c>
      <c r="E392" s="40">
        <v>5251</v>
      </c>
      <c r="F392" s="139">
        <f>SUM(F386:F391)</f>
        <v>0</v>
      </c>
      <c r="G392" s="139">
        <f>SUM(G386:G391)</f>
        <v>376328.04</v>
      </c>
      <c r="H392" s="139">
        <f>SUM(H386:H391)</f>
        <v>263.7</v>
      </c>
      <c r="I392" s="65">
        <f>SUM(I386:I391)</f>
        <v>0</v>
      </c>
      <c r="J392" s="45" t="s">
        <v>289</v>
      </c>
      <c r="K392" s="45" t="s">
        <v>289</v>
      </c>
      <c r="L392" s="47">
        <f>SUM(L386:L391)</f>
        <v>376591.74</v>
      </c>
      <c r="M392" s="8"/>
      <c r="N392" s="272"/>
    </row>
    <row r="393" spans="1:14" s="3" customFormat="1" ht="12" customHeight="1" x14ac:dyDescent="0.15">
      <c r="A393" s="78" t="s">
        <v>383</v>
      </c>
      <c r="B393" s="2"/>
      <c r="C393" s="6"/>
      <c r="D393" s="6"/>
      <c r="F393" s="24" t="s">
        <v>289</v>
      </c>
      <c r="G393" s="24" t="s">
        <v>289</v>
      </c>
      <c r="H393" s="24" t="s">
        <v>289</v>
      </c>
      <c r="I393" s="24" t="s">
        <v>289</v>
      </c>
      <c r="J393" s="24" t="s">
        <v>289</v>
      </c>
      <c r="K393" s="24" t="s">
        <v>289</v>
      </c>
      <c r="L393" s="24" t="s">
        <v>289</v>
      </c>
      <c r="M393" s="8"/>
      <c r="N393" s="272"/>
    </row>
    <row r="394" spans="1:14" s="3" customFormat="1" ht="12" customHeight="1" x14ac:dyDescent="0.15">
      <c r="A394" s="79" t="s">
        <v>559</v>
      </c>
      <c r="B394" s="2" t="s">
        <v>382</v>
      </c>
      <c r="C394" s="6">
        <v>8</v>
      </c>
      <c r="D394" s="2" t="s">
        <v>433</v>
      </c>
      <c r="E394" s="6"/>
      <c r="F394" s="18"/>
      <c r="G394" s="18"/>
      <c r="H394" s="18"/>
      <c r="I394" s="18"/>
      <c r="J394" s="24" t="s">
        <v>289</v>
      </c>
      <c r="K394" s="24" t="s">
        <v>289</v>
      </c>
      <c r="L394" s="56">
        <f t="shared" ref="L394:L399" si="26">SUM(F394:K394)</f>
        <v>0</v>
      </c>
      <c r="M394" s="8"/>
      <c r="N394" s="272"/>
    </row>
    <row r="395" spans="1:14" s="3" customFormat="1" ht="12" customHeight="1" x14ac:dyDescent="0.15">
      <c r="A395" s="79" t="s">
        <v>560</v>
      </c>
      <c r="B395" s="2" t="s">
        <v>382</v>
      </c>
      <c r="C395" s="6">
        <v>9</v>
      </c>
      <c r="D395" s="2" t="s">
        <v>433</v>
      </c>
      <c r="E395" s="6"/>
      <c r="F395" s="18"/>
      <c r="G395" s="18">
        <v>125000</v>
      </c>
      <c r="H395" s="18">
        <v>1571.88</v>
      </c>
      <c r="I395" s="18"/>
      <c r="J395" s="24" t="s">
        <v>289</v>
      </c>
      <c r="K395" s="24" t="s">
        <v>289</v>
      </c>
      <c r="L395" s="56">
        <f t="shared" si="26"/>
        <v>126571.88</v>
      </c>
      <c r="M395" s="8"/>
      <c r="N395" s="272"/>
    </row>
    <row r="396" spans="1:14" s="3" customFormat="1" ht="12" customHeight="1" x14ac:dyDescent="0.15">
      <c r="A396" s="79" t="s">
        <v>518</v>
      </c>
      <c r="B396" s="2" t="s">
        <v>382</v>
      </c>
      <c r="C396" s="6">
        <v>10</v>
      </c>
      <c r="D396" s="2" t="s">
        <v>433</v>
      </c>
      <c r="E396" s="6"/>
      <c r="F396" s="18"/>
      <c r="G396" s="18"/>
      <c r="H396" s="18"/>
      <c r="I396" s="18"/>
      <c r="J396" s="24" t="s">
        <v>289</v>
      </c>
      <c r="K396" s="24" t="s">
        <v>289</v>
      </c>
      <c r="L396" s="56">
        <f t="shared" si="26"/>
        <v>0</v>
      </c>
      <c r="M396" s="8"/>
      <c r="N396" s="272"/>
    </row>
    <row r="397" spans="1:14" s="3" customFormat="1" ht="12" customHeight="1" x14ac:dyDescent="0.15">
      <c r="A397" s="79" t="s">
        <v>561</v>
      </c>
      <c r="B397" s="2" t="s">
        <v>382</v>
      </c>
      <c r="C397" s="6">
        <v>11</v>
      </c>
      <c r="D397" s="2" t="s">
        <v>433</v>
      </c>
      <c r="E397" s="6"/>
      <c r="F397" s="18"/>
      <c r="G397" s="18"/>
      <c r="H397" s="18"/>
      <c r="I397" s="18"/>
      <c r="J397" s="24" t="s">
        <v>289</v>
      </c>
      <c r="K397" s="24" t="s">
        <v>289</v>
      </c>
      <c r="L397" s="56">
        <f t="shared" si="26"/>
        <v>0</v>
      </c>
      <c r="M397" s="8"/>
      <c r="N397" s="272"/>
    </row>
    <row r="398" spans="1:14" s="3" customFormat="1" ht="12" customHeight="1" x14ac:dyDescent="0.15">
      <c r="A398" s="79" t="s">
        <v>562</v>
      </c>
      <c r="B398" s="2" t="s">
        <v>382</v>
      </c>
      <c r="C398" s="6">
        <v>12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2"/>
    </row>
    <row r="399" spans="1:14" s="3" customFormat="1" ht="12" customHeight="1" thickBot="1" x14ac:dyDescent="0.2">
      <c r="A399" s="79" t="s">
        <v>513</v>
      </c>
      <c r="B399" s="2" t="s">
        <v>382</v>
      </c>
      <c r="C399" s="6">
        <v>13</v>
      </c>
      <c r="D399" s="2" t="s">
        <v>433</v>
      </c>
      <c r="E399" s="6"/>
      <c r="F399" s="18"/>
      <c r="G399" s="18"/>
      <c r="H399" s="18">
        <v>8203.98</v>
      </c>
      <c r="I399" s="18">
        <v>1526.98</v>
      </c>
      <c r="J399" s="24" t="s">
        <v>289</v>
      </c>
      <c r="K399" s="24" t="s">
        <v>289</v>
      </c>
      <c r="L399" s="56">
        <f t="shared" si="26"/>
        <v>9730.9599999999991</v>
      </c>
      <c r="M399" s="8"/>
      <c r="N399" s="272"/>
    </row>
    <row r="400" spans="1:14" s="3" customFormat="1" ht="12" customHeight="1" thickTop="1" x14ac:dyDescent="0.15">
      <c r="A400" s="160" t="s">
        <v>471</v>
      </c>
      <c r="B400" s="2" t="s">
        <v>382</v>
      </c>
      <c r="C400" s="6">
        <v>14</v>
      </c>
      <c r="D400" s="2" t="s">
        <v>433</v>
      </c>
      <c r="E400" s="40">
        <v>5252</v>
      </c>
      <c r="F400" s="47">
        <f>SUM(F394:F399)</f>
        <v>0</v>
      </c>
      <c r="G400" s="47">
        <f>SUM(G394:G399)</f>
        <v>125000</v>
      </c>
      <c r="H400" s="47">
        <f>SUM(H394:H399)</f>
        <v>9775.86</v>
      </c>
      <c r="I400" s="47">
        <f>SUM(I394:I399)</f>
        <v>1526.98</v>
      </c>
      <c r="J400" s="45" t="s">
        <v>289</v>
      </c>
      <c r="K400" s="45" t="s">
        <v>289</v>
      </c>
      <c r="L400" s="47">
        <f>SUM(L394:L399)</f>
        <v>136302.84</v>
      </c>
      <c r="M400" s="8"/>
      <c r="N400" s="272"/>
    </row>
    <row r="401" spans="1:21" s="3" customFormat="1" ht="12" customHeight="1" x14ac:dyDescent="0.15">
      <c r="A401" s="78" t="s">
        <v>384</v>
      </c>
      <c r="B401" s="2"/>
      <c r="C401" s="2"/>
      <c r="D401" s="2"/>
      <c r="F401" s="24" t="s">
        <v>289</v>
      </c>
      <c r="G401" s="24" t="s">
        <v>289</v>
      </c>
      <c r="H401" s="24" t="s">
        <v>289</v>
      </c>
      <c r="I401" s="24" t="s">
        <v>289</v>
      </c>
      <c r="J401" s="24" t="s">
        <v>289</v>
      </c>
      <c r="K401" s="24" t="s">
        <v>289</v>
      </c>
      <c r="L401" s="24" t="s">
        <v>289</v>
      </c>
      <c r="M401" s="8"/>
      <c r="N401" s="272"/>
    </row>
    <row r="402" spans="1:21" s="3" customFormat="1" ht="12" customHeight="1" x14ac:dyDescent="0.15">
      <c r="A402" s="110"/>
      <c r="B402" s="2" t="s">
        <v>382</v>
      </c>
      <c r="C402" s="6">
        <v>15</v>
      </c>
      <c r="D402" s="2" t="s">
        <v>433</v>
      </c>
      <c r="E402" s="6"/>
      <c r="F402" s="18"/>
      <c r="G402" s="18"/>
      <c r="H402" s="18"/>
      <c r="I402" s="18"/>
      <c r="J402" s="24" t="s">
        <v>289</v>
      </c>
      <c r="K402" s="24" t="s">
        <v>289</v>
      </c>
      <c r="L402" s="56">
        <f>SUM(F402:K402)</f>
        <v>0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16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17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thickBot="1" x14ac:dyDescent="0.2">
      <c r="A405" s="110"/>
      <c r="B405" s="2" t="s">
        <v>382</v>
      </c>
      <c r="C405" s="6">
        <v>18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Top="1" thickBot="1" x14ac:dyDescent="0.2">
      <c r="A406" s="160" t="s">
        <v>473</v>
      </c>
      <c r="B406" s="2" t="s">
        <v>382</v>
      </c>
      <c r="C406" s="6">
        <v>19</v>
      </c>
      <c r="D406" s="2" t="s">
        <v>433</v>
      </c>
      <c r="E406" s="40">
        <v>5253</v>
      </c>
      <c r="F406" s="47">
        <f>SUM(F402:F405)</f>
        <v>0</v>
      </c>
      <c r="G406" s="47">
        <f>SUM(G402:G405)</f>
        <v>0</v>
      </c>
      <c r="H406" s="47">
        <f>SUM(H402:H405)</f>
        <v>0</v>
      </c>
      <c r="I406" s="47">
        <f>SUM(I402:I405)</f>
        <v>0</v>
      </c>
      <c r="J406" s="49" t="s">
        <v>289</v>
      </c>
      <c r="K406" s="49" t="s">
        <v>289</v>
      </c>
      <c r="L406" s="47">
        <f>SUM(L402:L405)</f>
        <v>0</v>
      </c>
      <c r="M406" s="8"/>
      <c r="N406" s="272"/>
    </row>
    <row r="407" spans="1:21" s="3" customFormat="1" ht="12" customHeight="1" thickTop="1" x14ac:dyDescent="0.15">
      <c r="A407" s="78" t="s">
        <v>422</v>
      </c>
      <c r="B407" s="2" t="s">
        <v>382</v>
      </c>
      <c r="C407" s="6">
        <v>20</v>
      </c>
      <c r="D407" s="6"/>
      <c r="E407" s="40"/>
      <c r="F407" s="47">
        <f>F392+F400+F406</f>
        <v>0</v>
      </c>
      <c r="G407" s="47">
        <f>G392+G400+G406</f>
        <v>501328.04</v>
      </c>
      <c r="H407" s="47">
        <f>H392+H400+H406</f>
        <v>10039.560000000001</v>
      </c>
      <c r="I407" s="47">
        <f>I392+I400+I406</f>
        <v>1526.98</v>
      </c>
      <c r="J407" s="24" t="s">
        <v>289</v>
      </c>
      <c r="K407" s="24" t="s">
        <v>289</v>
      </c>
      <c r="L407" s="47">
        <f>L392+L400+L406</f>
        <v>512894.57999999996</v>
      </c>
      <c r="M407" s="8"/>
      <c r="N407" s="272"/>
    </row>
    <row r="408" spans="1:21" s="3" customFormat="1" ht="12" customHeight="1" x14ac:dyDescent="0.15">
      <c r="A408" s="78"/>
      <c r="B408" s="2"/>
      <c r="C408" s="6"/>
      <c r="D408" s="6"/>
      <c r="E408" s="6"/>
      <c r="F408" s="177" t="s">
        <v>693</v>
      </c>
      <c r="G408" s="177" t="s">
        <v>694</v>
      </c>
      <c r="H408" s="177" t="s">
        <v>695</v>
      </c>
      <c r="I408" s="177" t="s">
        <v>696</v>
      </c>
      <c r="J408" s="177" t="s">
        <v>697</v>
      </c>
      <c r="K408" s="177" t="s">
        <v>698</v>
      </c>
      <c r="L408" s="56"/>
      <c r="M408" s="8"/>
      <c r="N408" s="272"/>
    </row>
    <row r="409" spans="1:21" s="3" customFormat="1" ht="12" customHeight="1" x14ac:dyDescent="0.15">
      <c r="A409" s="26" t="s">
        <v>483</v>
      </c>
      <c r="B409" s="76"/>
      <c r="C409" s="76"/>
      <c r="D409" s="76"/>
      <c r="E409" s="76"/>
      <c r="F409" s="66"/>
      <c r="G409" s="16" t="s">
        <v>385</v>
      </c>
      <c r="H409" s="16" t="s">
        <v>386</v>
      </c>
      <c r="I409" s="67"/>
      <c r="J409" s="56"/>
      <c r="K409" s="56"/>
      <c r="L409" s="56"/>
      <c r="M409" s="8"/>
      <c r="N409" s="272"/>
    </row>
    <row r="410" spans="1:21" s="3" customFormat="1" ht="12" customHeight="1" x14ac:dyDescent="0.15">
      <c r="A410" s="26" t="s">
        <v>485</v>
      </c>
      <c r="B410" s="2"/>
      <c r="C410" s="2"/>
      <c r="D410" s="2"/>
      <c r="E410" s="2"/>
      <c r="F410" s="16" t="s">
        <v>337</v>
      </c>
      <c r="G410" s="16" t="s">
        <v>338</v>
      </c>
      <c r="H410" s="16" t="s">
        <v>387</v>
      </c>
      <c r="I410" s="16" t="s">
        <v>339</v>
      </c>
      <c r="J410" s="56" t="s">
        <v>340</v>
      </c>
      <c r="K410" s="56" t="s">
        <v>357</v>
      </c>
      <c r="L410" s="77" t="s">
        <v>341</v>
      </c>
      <c r="M410" s="8"/>
      <c r="N410" s="272"/>
    </row>
    <row r="411" spans="1:21" s="3" customFormat="1" ht="12" customHeight="1" x14ac:dyDescent="0.15">
      <c r="A411" s="26" t="s">
        <v>377</v>
      </c>
      <c r="B411" s="2"/>
      <c r="C411" s="2"/>
      <c r="D411" s="2"/>
      <c r="F411" s="24" t="s">
        <v>289</v>
      </c>
      <c r="G411" s="24" t="s">
        <v>289</v>
      </c>
      <c r="H411" s="24" t="s">
        <v>289</v>
      </c>
      <c r="I411" s="24" t="s">
        <v>289</v>
      </c>
      <c r="J411" s="24" t="s">
        <v>289</v>
      </c>
      <c r="K411" s="24" t="s">
        <v>289</v>
      </c>
      <c r="L411" s="24" t="s">
        <v>289</v>
      </c>
      <c r="M411" s="8"/>
      <c r="N411" s="272"/>
    </row>
    <row r="412" spans="1:21" s="3" customFormat="1" ht="12" customHeight="1" x14ac:dyDescent="0.15">
      <c r="A412" s="79" t="s">
        <v>553</v>
      </c>
      <c r="B412" s="6">
        <v>17</v>
      </c>
      <c r="C412" s="6">
        <v>1</v>
      </c>
      <c r="D412" s="2" t="s">
        <v>433</v>
      </c>
      <c r="E412" s="6"/>
      <c r="F412" s="18"/>
      <c r="G412" s="18"/>
      <c r="H412" s="18"/>
      <c r="I412" s="18"/>
      <c r="J412" s="18"/>
      <c r="K412" s="18"/>
      <c r="L412" s="56">
        <f t="shared" ref="L412:L417" si="27">SUM(F412:K412)</f>
        <v>0</v>
      </c>
      <c r="M412" s="8"/>
      <c r="N412" s="272"/>
    </row>
    <row r="413" spans="1:21" s="12" customFormat="1" ht="12" customHeight="1" thickBot="1" x14ac:dyDescent="0.25">
      <c r="A413" s="79" t="s">
        <v>554</v>
      </c>
      <c r="B413" s="6">
        <v>17</v>
      </c>
      <c r="C413" s="6">
        <v>2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si="27"/>
        <v>0</v>
      </c>
      <c r="M413" s="52"/>
      <c r="N413" s="271"/>
      <c r="O413" s="52"/>
      <c r="P413" s="52"/>
      <c r="Q413" s="52"/>
      <c r="R413" s="52"/>
      <c r="S413" s="52"/>
      <c r="T413" s="52"/>
      <c r="U413" s="52"/>
    </row>
    <row r="414" spans="1:21" s="3" customFormat="1" ht="12" customHeight="1" x14ac:dyDescent="0.15">
      <c r="A414" s="79" t="s">
        <v>555</v>
      </c>
      <c r="B414" s="6">
        <v>17</v>
      </c>
      <c r="C414" s="6">
        <v>3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8"/>
      <c r="N414" s="227"/>
      <c r="O414" s="58"/>
      <c r="P414" s="58"/>
      <c r="Q414" s="58"/>
      <c r="R414" s="58"/>
      <c r="S414" s="58"/>
      <c r="T414" s="58"/>
      <c r="U414" s="58"/>
    </row>
    <row r="415" spans="1:21" s="3" customFormat="1" ht="12" customHeight="1" x14ac:dyDescent="0.15">
      <c r="A415" s="79" t="s">
        <v>556</v>
      </c>
      <c r="B415" s="6">
        <v>17</v>
      </c>
      <c r="C415" s="6">
        <v>4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8"/>
      <c r="N415" s="272"/>
    </row>
    <row r="416" spans="1:21" s="3" customFormat="1" ht="12" customHeight="1" x14ac:dyDescent="0.15">
      <c r="A416" s="79" t="s">
        <v>557</v>
      </c>
      <c r="B416" s="6">
        <v>17</v>
      </c>
      <c r="C416" s="6">
        <v>5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thickBot="1" x14ac:dyDescent="0.2">
      <c r="A417" s="79" t="s">
        <v>558</v>
      </c>
      <c r="B417" s="6">
        <v>17</v>
      </c>
      <c r="C417" s="6">
        <v>6</v>
      </c>
      <c r="D417" s="2" t="s">
        <v>433</v>
      </c>
      <c r="E417" s="6"/>
      <c r="F417" s="18"/>
      <c r="G417" s="18"/>
      <c r="H417" s="18">
        <v>294265</v>
      </c>
      <c r="I417" s="18"/>
      <c r="J417" s="18">
        <v>32734</v>
      </c>
      <c r="K417" s="18"/>
      <c r="L417" s="56">
        <f t="shared" si="27"/>
        <v>326999</v>
      </c>
      <c r="M417" s="8"/>
      <c r="N417" s="272"/>
    </row>
    <row r="418" spans="1:21" s="3" customFormat="1" ht="12" customHeight="1" thickTop="1" x14ac:dyDescent="0.15">
      <c r="A418" s="160" t="s">
        <v>472</v>
      </c>
      <c r="B418" s="6">
        <v>17</v>
      </c>
      <c r="C418" s="6">
        <v>7</v>
      </c>
      <c r="D418" s="2" t="s">
        <v>433</v>
      </c>
      <c r="E418" s="40">
        <v>5251</v>
      </c>
      <c r="F418" s="139">
        <f t="shared" ref="F418:L418" si="28">SUM(F412:F417)</f>
        <v>0</v>
      </c>
      <c r="G418" s="139">
        <f t="shared" si="28"/>
        <v>0</v>
      </c>
      <c r="H418" s="139">
        <f t="shared" si="28"/>
        <v>294265</v>
      </c>
      <c r="I418" s="139">
        <f t="shared" si="28"/>
        <v>0</v>
      </c>
      <c r="J418" s="139">
        <f t="shared" si="28"/>
        <v>32734</v>
      </c>
      <c r="K418" s="139">
        <f t="shared" si="28"/>
        <v>0</v>
      </c>
      <c r="L418" s="47">
        <f t="shared" si="28"/>
        <v>326999</v>
      </c>
      <c r="M418" s="8"/>
      <c r="N418" s="272"/>
    </row>
    <row r="419" spans="1:21" s="3" customFormat="1" ht="12" customHeight="1" x14ac:dyDescent="0.15">
      <c r="A419" s="78" t="s">
        <v>383</v>
      </c>
      <c r="B419" s="2"/>
      <c r="C419" s="6"/>
      <c r="D419" s="6"/>
      <c r="F419" s="24" t="s">
        <v>289</v>
      </c>
      <c r="G419" s="24" t="s">
        <v>289</v>
      </c>
      <c r="H419" s="24" t="s">
        <v>289</v>
      </c>
      <c r="I419" s="24" t="s">
        <v>289</v>
      </c>
      <c r="J419" s="24" t="s">
        <v>289</v>
      </c>
      <c r="K419" s="24" t="s">
        <v>289</v>
      </c>
      <c r="L419" s="24" t="s">
        <v>289</v>
      </c>
      <c r="M419" s="8"/>
      <c r="N419" s="272"/>
    </row>
    <row r="420" spans="1:21" s="3" customFormat="1" ht="12" customHeight="1" x14ac:dyDescent="0.15">
      <c r="A420" s="79" t="s">
        <v>559</v>
      </c>
      <c r="B420" s="6">
        <v>17</v>
      </c>
      <c r="C420" s="6">
        <v>8</v>
      </c>
      <c r="D420" s="2" t="s">
        <v>433</v>
      </c>
      <c r="E420" s="6"/>
      <c r="F420" s="18"/>
      <c r="G420" s="18"/>
      <c r="H420" s="18"/>
      <c r="I420" s="18"/>
      <c r="J420" s="18"/>
      <c r="K420" s="18"/>
      <c r="L420" s="56">
        <f t="shared" ref="L420:L425" si="29">SUM(F420:K420)</f>
        <v>0</v>
      </c>
      <c r="M420" s="8"/>
      <c r="N420" s="272"/>
    </row>
    <row r="421" spans="1:21" s="3" customFormat="1" ht="12" customHeight="1" x14ac:dyDescent="0.15">
      <c r="A421" s="79" t="s">
        <v>560</v>
      </c>
      <c r="B421" s="6">
        <v>17</v>
      </c>
      <c r="C421" s="6">
        <v>9</v>
      </c>
      <c r="D421" s="2" t="s">
        <v>433</v>
      </c>
      <c r="E421" s="6"/>
      <c r="F421" s="18"/>
      <c r="G421" s="18"/>
      <c r="H421" s="18">
        <v>56558.57</v>
      </c>
      <c r="I421" s="18"/>
      <c r="J421" s="18"/>
      <c r="K421" s="18"/>
      <c r="L421" s="56">
        <f t="shared" si="29"/>
        <v>56558.57</v>
      </c>
      <c r="M421" s="8"/>
      <c r="N421" s="272"/>
    </row>
    <row r="422" spans="1:21" s="3" customFormat="1" ht="12" customHeight="1" x14ac:dyDescent="0.15">
      <c r="A422" s="79" t="s">
        <v>518</v>
      </c>
      <c r="B422" s="6">
        <v>17</v>
      </c>
      <c r="C422" s="6">
        <v>10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561</v>
      </c>
      <c r="B423" s="6">
        <v>17</v>
      </c>
      <c r="C423" s="6">
        <v>11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562</v>
      </c>
      <c r="B424" s="6">
        <v>17</v>
      </c>
      <c r="C424" s="6">
        <v>12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thickBot="1" x14ac:dyDescent="0.2">
      <c r="A425" s="79" t="s">
        <v>513</v>
      </c>
      <c r="B425" s="6">
        <v>17</v>
      </c>
      <c r="C425" s="6">
        <v>13</v>
      </c>
      <c r="D425" s="2" t="s">
        <v>433</v>
      </c>
      <c r="E425" s="6"/>
      <c r="F425" s="18"/>
      <c r="G425" s="18"/>
      <c r="H425" s="18">
        <v>10219.65</v>
      </c>
      <c r="I425" s="18"/>
      <c r="J425" s="18"/>
      <c r="K425" s="18"/>
      <c r="L425" s="56">
        <f t="shared" si="29"/>
        <v>10219.65</v>
      </c>
      <c r="M425" s="8"/>
      <c r="N425" s="272"/>
    </row>
    <row r="426" spans="1:21" s="3" customFormat="1" ht="12" customHeight="1" thickTop="1" x14ac:dyDescent="0.15">
      <c r="A426" s="160" t="s">
        <v>471</v>
      </c>
      <c r="B426" s="6">
        <v>17</v>
      </c>
      <c r="C426" s="6">
        <v>14</v>
      </c>
      <c r="D426" s="2" t="s">
        <v>433</v>
      </c>
      <c r="E426" s="40">
        <v>5252</v>
      </c>
      <c r="F426" s="47">
        <f t="shared" ref="F426:L426" si="30">SUM(F420:F425)</f>
        <v>0</v>
      </c>
      <c r="G426" s="47">
        <f t="shared" si="30"/>
        <v>0</v>
      </c>
      <c r="H426" s="47">
        <f t="shared" si="30"/>
        <v>66778.22</v>
      </c>
      <c r="I426" s="47">
        <f t="shared" si="30"/>
        <v>0</v>
      </c>
      <c r="J426" s="47">
        <f t="shared" si="30"/>
        <v>0</v>
      </c>
      <c r="K426" s="47">
        <f t="shared" si="30"/>
        <v>0</v>
      </c>
      <c r="L426" s="47">
        <f t="shared" si="30"/>
        <v>66778.22</v>
      </c>
      <c r="M426" s="8"/>
      <c r="N426" s="272"/>
    </row>
    <row r="427" spans="1:21" s="11" customFormat="1" ht="12" customHeight="1" x14ac:dyDescent="0.15">
      <c r="A427" s="78" t="s">
        <v>384</v>
      </c>
      <c r="B427" s="2"/>
      <c r="C427" s="2"/>
      <c r="D427" s="2"/>
      <c r="E427" s="3"/>
      <c r="F427" s="24" t="s">
        <v>289</v>
      </c>
      <c r="G427" s="24" t="s">
        <v>289</v>
      </c>
      <c r="H427" s="24" t="s">
        <v>289</v>
      </c>
      <c r="I427" s="24" t="s">
        <v>289</v>
      </c>
      <c r="J427" s="24" t="s">
        <v>289</v>
      </c>
      <c r="K427" s="24" t="s">
        <v>289</v>
      </c>
      <c r="L427" s="24" t="s">
        <v>289</v>
      </c>
      <c r="M427" s="68"/>
      <c r="N427" s="227"/>
      <c r="O427" s="58"/>
      <c r="P427" s="58"/>
      <c r="Q427" s="58"/>
      <c r="R427" s="58"/>
      <c r="S427" s="58"/>
      <c r="T427" s="58"/>
      <c r="U427" s="58"/>
    </row>
    <row r="428" spans="1:21" s="58" customFormat="1" ht="12" customHeight="1" x14ac:dyDescent="0.15">
      <c r="A428" s="110"/>
      <c r="B428" s="6">
        <v>17</v>
      </c>
      <c r="C428" s="6">
        <v>15</v>
      </c>
      <c r="D428" s="2" t="s">
        <v>433</v>
      </c>
      <c r="E428" s="6"/>
      <c r="F428" s="18"/>
      <c r="G428" s="18"/>
      <c r="H428" s="18"/>
      <c r="I428" s="18"/>
      <c r="J428" s="18"/>
      <c r="K428" s="18"/>
      <c r="L428" s="56">
        <f>SUM(F428:K428)</f>
        <v>0</v>
      </c>
      <c r="M428" s="68"/>
      <c r="N428" s="227"/>
    </row>
    <row r="429" spans="1:21" s="58" customFormat="1" ht="12" customHeight="1" x14ac:dyDescent="0.15">
      <c r="A429" s="110"/>
      <c r="B429" s="6">
        <v>17</v>
      </c>
      <c r="C429" s="6">
        <v>16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ht="12" customHeight="1" x14ac:dyDescent="0.2">
      <c r="A430" s="110"/>
      <c r="B430" s="6">
        <v>17</v>
      </c>
      <c r="C430" s="6">
        <v>17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N430" s="270"/>
    </row>
    <row r="431" spans="1:21" s="3" customFormat="1" ht="12" customHeight="1" thickBot="1" x14ac:dyDescent="0.2">
      <c r="A431" s="110"/>
      <c r="B431" s="6">
        <v>17</v>
      </c>
      <c r="C431" s="6">
        <v>18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M431" s="8"/>
      <c r="N431" s="272"/>
    </row>
    <row r="432" spans="1:21" s="3" customFormat="1" ht="12" customHeight="1" thickTop="1" thickBot="1" x14ac:dyDescent="0.2">
      <c r="A432" s="160" t="s">
        <v>473</v>
      </c>
      <c r="B432" s="6">
        <v>17</v>
      </c>
      <c r="C432" s="6">
        <v>19</v>
      </c>
      <c r="D432" s="2" t="s">
        <v>433</v>
      </c>
      <c r="E432" s="40">
        <v>5253</v>
      </c>
      <c r="F432" s="47">
        <f t="shared" ref="F432:L432" si="31">SUM(F428:F431)</f>
        <v>0</v>
      </c>
      <c r="G432" s="47">
        <f t="shared" si="31"/>
        <v>0</v>
      </c>
      <c r="H432" s="47">
        <f t="shared" si="31"/>
        <v>0</v>
      </c>
      <c r="I432" s="47">
        <f t="shared" si="31"/>
        <v>0</v>
      </c>
      <c r="J432" s="47">
        <f t="shared" si="31"/>
        <v>0</v>
      </c>
      <c r="K432" s="47">
        <f t="shared" si="31"/>
        <v>0</v>
      </c>
      <c r="L432" s="47">
        <f t="shared" si="31"/>
        <v>0</v>
      </c>
      <c r="M432" s="8"/>
      <c r="N432" s="272"/>
    </row>
    <row r="433" spans="1:14" s="3" customFormat="1" ht="12" customHeight="1" thickTop="1" x14ac:dyDescent="0.15">
      <c r="A433" s="78" t="s">
        <v>423</v>
      </c>
      <c r="B433" s="6">
        <v>17</v>
      </c>
      <c r="C433" s="6">
        <v>20</v>
      </c>
      <c r="D433" s="2" t="s">
        <v>433</v>
      </c>
      <c r="E433" s="40"/>
      <c r="F433" s="47">
        <f t="shared" ref="F433:L433" si="32">F418+F426+F432</f>
        <v>0</v>
      </c>
      <c r="G433" s="47">
        <f t="shared" si="32"/>
        <v>0</v>
      </c>
      <c r="H433" s="47">
        <f t="shared" si="32"/>
        <v>361043.22</v>
      </c>
      <c r="I433" s="47">
        <f t="shared" si="32"/>
        <v>0</v>
      </c>
      <c r="J433" s="47">
        <f t="shared" si="32"/>
        <v>32734</v>
      </c>
      <c r="K433" s="47">
        <f t="shared" si="32"/>
        <v>0</v>
      </c>
      <c r="L433" s="47">
        <f t="shared" si="32"/>
        <v>393777.22</v>
      </c>
      <c r="M433" s="8"/>
      <c r="N433" s="272"/>
    </row>
    <row r="434" spans="1:14" s="3" customFormat="1" ht="12" customHeight="1" x14ac:dyDescent="0.15">
      <c r="A434" s="78"/>
      <c r="B434" s="6"/>
      <c r="C434" s="6"/>
      <c r="D434" s="6"/>
      <c r="E434" s="6"/>
      <c r="F434" s="56"/>
      <c r="G434" s="56"/>
      <c r="H434" s="56"/>
      <c r="I434" s="56"/>
      <c r="J434" s="56"/>
      <c r="K434" s="56"/>
      <c r="L434" s="56"/>
      <c r="M434" s="8"/>
      <c r="N434" s="272"/>
    </row>
    <row r="435" spans="1:14" s="3" customFormat="1" ht="12" customHeight="1" x14ac:dyDescent="0.15">
      <c r="A435" s="34" t="s">
        <v>0</v>
      </c>
      <c r="K435" s="56"/>
      <c r="L435" s="13"/>
      <c r="M435" s="8"/>
      <c r="N435" s="272"/>
    </row>
    <row r="436" spans="1:14" s="3" customFormat="1" ht="12" customHeight="1" x14ac:dyDescent="0.15">
      <c r="A436" s="34" t="s">
        <v>1</v>
      </c>
      <c r="F436" s="23" t="s">
        <v>2</v>
      </c>
      <c r="G436" s="23" t="s">
        <v>3</v>
      </c>
      <c r="H436" s="23" t="s">
        <v>4</v>
      </c>
      <c r="I436" s="23" t="s">
        <v>5</v>
      </c>
      <c r="M436" s="8"/>
      <c r="N436" s="272"/>
    </row>
    <row r="437" spans="1:14" s="3" customFormat="1" ht="12" customHeight="1" x14ac:dyDescent="0.15">
      <c r="A437" s="34" t="s">
        <v>6</v>
      </c>
      <c r="B437" s="23"/>
      <c r="C437" s="23"/>
      <c r="D437" s="23"/>
      <c r="E437" s="23"/>
      <c r="F437" s="24" t="s">
        <v>289</v>
      </c>
      <c r="G437" s="24" t="s">
        <v>289</v>
      </c>
      <c r="H437" s="24" t="s">
        <v>289</v>
      </c>
      <c r="I437" s="24" t="s">
        <v>289</v>
      </c>
      <c r="J437" s="24" t="s">
        <v>289</v>
      </c>
      <c r="K437" s="24" t="s">
        <v>289</v>
      </c>
      <c r="L437" s="24" t="s">
        <v>289</v>
      </c>
      <c r="M437" s="8"/>
      <c r="N437" s="272"/>
    </row>
    <row r="438" spans="1:14" s="3" customFormat="1" ht="12" customHeight="1" x14ac:dyDescent="0.15">
      <c r="A438" s="3" t="s">
        <v>564</v>
      </c>
      <c r="B438" s="23">
        <v>18</v>
      </c>
      <c r="C438" s="6">
        <v>1</v>
      </c>
      <c r="D438" s="2" t="s">
        <v>433</v>
      </c>
      <c r="E438" s="6">
        <v>100</v>
      </c>
      <c r="F438" s="18"/>
      <c r="G438" s="18"/>
      <c r="H438" s="18"/>
      <c r="I438" s="56">
        <f t="shared" ref="I438:I444" si="33">SUM(F438:H438)</f>
        <v>0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69" t="s">
        <v>565</v>
      </c>
      <c r="B439" s="23">
        <v>18</v>
      </c>
      <c r="C439" s="6">
        <v>2</v>
      </c>
      <c r="D439" s="2" t="s">
        <v>433</v>
      </c>
      <c r="E439" s="6">
        <v>110</v>
      </c>
      <c r="F439" s="18"/>
      <c r="G439" s="18"/>
      <c r="H439" s="18"/>
      <c r="I439" s="56">
        <f t="shared" si="33"/>
        <v>0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607</v>
      </c>
      <c r="B440" s="23">
        <v>18</v>
      </c>
      <c r="C440" s="6">
        <v>3</v>
      </c>
      <c r="D440" s="2" t="s">
        <v>433</v>
      </c>
      <c r="E440" s="6">
        <v>130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608</v>
      </c>
      <c r="B441" s="23">
        <v>18</v>
      </c>
      <c r="C441" s="6">
        <v>4</v>
      </c>
      <c r="D441" s="2" t="s">
        <v>433</v>
      </c>
      <c r="E441" s="6">
        <v>140</v>
      </c>
      <c r="F441" s="18">
        <v>208200.52</v>
      </c>
      <c r="G441" s="18">
        <v>894324.86</v>
      </c>
      <c r="H441" s="18"/>
      <c r="I441" s="56">
        <f t="shared" si="33"/>
        <v>1102525.3799999999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568</v>
      </c>
      <c r="B442" s="23">
        <v>18</v>
      </c>
      <c r="C442" s="6">
        <v>5</v>
      </c>
      <c r="D442" s="2" t="s">
        <v>433</v>
      </c>
      <c r="E442" s="6">
        <v>150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609</v>
      </c>
      <c r="B443" s="23">
        <v>18</v>
      </c>
      <c r="C443" s="6">
        <v>6</v>
      </c>
      <c r="D443" s="2" t="s">
        <v>433</v>
      </c>
      <c r="E443" s="6">
        <v>180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610</v>
      </c>
      <c r="B444" s="23">
        <v>18</v>
      </c>
      <c r="C444" s="6">
        <v>7</v>
      </c>
      <c r="D444" s="2" t="s">
        <v>433</v>
      </c>
      <c r="E444" s="6">
        <v>190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thickBot="1" x14ac:dyDescent="0.2">
      <c r="A445" s="70" t="s">
        <v>405</v>
      </c>
      <c r="B445" s="23">
        <v>18</v>
      </c>
      <c r="C445" s="37">
        <v>8</v>
      </c>
      <c r="D445" s="2" t="s">
        <v>433</v>
      </c>
      <c r="E445" s="37"/>
      <c r="F445" s="13">
        <f>SUM(F438:F444)</f>
        <v>208200.52</v>
      </c>
      <c r="G445" s="13">
        <f>SUM(G438:G444)</f>
        <v>894324.86</v>
      </c>
      <c r="H445" s="13">
        <f>SUM(H438:H444)</f>
        <v>0</v>
      </c>
      <c r="I445" s="13">
        <f>SUM(I438:I444)</f>
        <v>1102525.3799999999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Top="1" x14ac:dyDescent="0.15">
      <c r="A446" s="38" t="s">
        <v>7</v>
      </c>
      <c r="B446" s="44"/>
      <c r="C446" s="40"/>
      <c r="D446" s="40"/>
      <c r="E446" s="40"/>
      <c r="F446" s="45" t="s">
        <v>289</v>
      </c>
      <c r="G446" s="45" t="s">
        <v>289</v>
      </c>
      <c r="H446" s="45" t="s">
        <v>289</v>
      </c>
      <c r="I446" s="45" t="s">
        <v>289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x14ac:dyDescent="0.15">
      <c r="A447" s="69" t="s">
        <v>572</v>
      </c>
      <c r="B447" s="23">
        <v>18</v>
      </c>
      <c r="C447" s="6">
        <v>9</v>
      </c>
      <c r="D447" s="2" t="s">
        <v>433</v>
      </c>
      <c r="E447" s="6">
        <v>400</v>
      </c>
      <c r="F447" s="18"/>
      <c r="G447" s="18"/>
      <c r="H447" s="18"/>
      <c r="I447" s="56">
        <f>SUM(F447:H447)</f>
        <v>0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611</v>
      </c>
      <c r="B448" s="23">
        <v>18</v>
      </c>
      <c r="C448" s="6">
        <v>10</v>
      </c>
      <c r="D448" s="2" t="s">
        <v>433</v>
      </c>
      <c r="E448" s="6">
        <v>410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573</v>
      </c>
      <c r="B449" s="23">
        <v>18</v>
      </c>
      <c r="C449" s="6">
        <v>11</v>
      </c>
      <c r="D449" s="2" t="s">
        <v>433</v>
      </c>
      <c r="E449" s="6">
        <v>420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612</v>
      </c>
      <c r="B450" s="23">
        <v>18</v>
      </c>
      <c r="C450" s="6">
        <v>12</v>
      </c>
      <c r="D450" s="2" t="s">
        <v>433</v>
      </c>
      <c r="E450" s="6">
        <v>490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thickBot="1" x14ac:dyDescent="0.2">
      <c r="A451" s="74" t="s">
        <v>424</v>
      </c>
      <c r="B451" s="73">
        <v>18</v>
      </c>
      <c r="C451" s="71">
        <v>13</v>
      </c>
      <c r="D451" s="2" t="s">
        <v>433</v>
      </c>
      <c r="E451" s="71"/>
      <c r="F451" s="72">
        <f>SUM(F447:F450)</f>
        <v>0</v>
      </c>
      <c r="G451" s="72">
        <f>SUM(G447:G450)</f>
        <v>0</v>
      </c>
      <c r="H451" s="72">
        <f>SUM(H447:H450)</f>
        <v>0</v>
      </c>
      <c r="I451" s="72">
        <f>SUM(I447:I450)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Top="1" x14ac:dyDescent="0.15">
      <c r="A452" s="90" t="s">
        <v>8</v>
      </c>
      <c r="B452" s="36"/>
      <c r="C452" s="75"/>
      <c r="D452" s="75"/>
      <c r="E452" s="75"/>
      <c r="F452" s="24" t="s">
        <v>289</v>
      </c>
      <c r="G452" s="24" t="s">
        <v>289</v>
      </c>
      <c r="H452" s="24" t="s">
        <v>289</v>
      </c>
      <c r="I452" s="24" t="s">
        <v>289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x14ac:dyDescent="0.15">
      <c r="A453" s="1" t="s">
        <v>874</v>
      </c>
      <c r="B453" s="23">
        <v>18</v>
      </c>
      <c r="C453" s="6">
        <v>14</v>
      </c>
      <c r="D453" s="2" t="s">
        <v>433</v>
      </c>
      <c r="E453" s="6">
        <v>753</v>
      </c>
      <c r="F453" s="18"/>
      <c r="G453" s="18"/>
      <c r="H453" s="18"/>
      <c r="I453" s="56">
        <f t="shared" ref="I453:I458" si="34">SUM(F453:H453)</f>
        <v>0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867</v>
      </c>
      <c r="B454" s="23">
        <v>18</v>
      </c>
      <c r="C454" s="6">
        <v>15</v>
      </c>
      <c r="D454" s="2"/>
      <c r="E454" s="6">
        <v>753</v>
      </c>
      <c r="F454" s="18"/>
      <c r="G454" s="18"/>
      <c r="H454" s="18"/>
      <c r="I454" s="56">
        <f t="shared" si="34"/>
        <v>0</v>
      </c>
      <c r="J454" s="24"/>
      <c r="K454" s="24"/>
      <c r="L454" s="24"/>
      <c r="M454" s="8"/>
      <c r="N454" s="272"/>
    </row>
    <row r="455" spans="1:23" s="3" customFormat="1" ht="12" customHeight="1" x14ac:dyDescent="0.15">
      <c r="A455" s="1" t="s">
        <v>613</v>
      </c>
      <c r="B455" s="23">
        <v>18</v>
      </c>
      <c r="C455" s="6">
        <v>16</v>
      </c>
      <c r="D455" s="2" t="s">
        <v>433</v>
      </c>
      <c r="E455" s="6">
        <v>754</v>
      </c>
      <c r="F455" s="18"/>
      <c r="G455" s="18"/>
      <c r="H455" s="18"/>
      <c r="I455" s="56">
        <f t="shared" si="34"/>
        <v>0</v>
      </c>
      <c r="J455" s="24" t="s">
        <v>289</v>
      </c>
      <c r="K455" s="24" t="s">
        <v>289</v>
      </c>
      <c r="L455" s="24" t="s">
        <v>289</v>
      </c>
      <c r="M455" s="8"/>
      <c r="N455" s="272"/>
    </row>
    <row r="456" spans="1:23" s="3" customFormat="1" ht="12" customHeight="1" x14ac:dyDescent="0.15">
      <c r="A456" s="1" t="s">
        <v>870</v>
      </c>
      <c r="B456" s="23">
        <v>18</v>
      </c>
      <c r="C456" s="6">
        <v>17</v>
      </c>
      <c r="D456" s="2" t="s">
        <v>433</v>
      </c>
      <c r="E456" s="6">
        <v>756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68"/>
      <c r="N456" s="227"/>
      <c r="O456" s="58"/>
      <c r="P456" s="58"/>
    </row>
    <row r="457" spans="1:23" s="12" customFormat="1" ht="12" customHeight="1" thickBot="1" x14ac:dyDescent="0.25">
      <c r="A457" s="1" t="s">
        <v>871</v>
      </c>
      <c r="B457" s="23">
        <v>18</v>
      </c>
      <c r="C457" s="6">
        <v>18</v>
      </c>
      <c r="D457" s="2"/>
      <c r="E457" s="6">
        <v>756</v>
      </c>
      <c r="F457" s="18"/>
      <c r="G457" s="18"/>
      <c r="H457" s="18"/>
      <c r="I457" s="56">
        <f t="shared" si="34"/>
        <v>0</v>
      </c>
      <c r="J457" s="24"/>
      <c r="K457" s="24"/>
      <c r="L457" s="24"/>
      <c r="M457" s="52"/>
      <c r="N457" s="271"/>
      <c r="O457" s="52"/>
      <c r="P457" s="52"/>
      <c r="Q457" s="52"/>
      <c r="R457" s="52"/>
      <c r="S457" s="52"/>
      <c r="T457" s="52"/>
      <c r="U457" s="52"/>
      <c r="V457" s="52"/>
      <c r="W457" s="52"/>
    </row>
    <row r="458" spans="1:23" s="12" customFormat="1" ht="12" customHeight="1" thickBot="1" x14ac:dyDescent="0.25">
      <c r="A458" s="1" t="s">
        <v>582</v>
      </c>
      <c r="B458" s="23">
        <v>18</v>
      </c>
      <c r="C458" s="6">
        <v>19</v>
      </c>
      <c r="D458" s="2" t="s">
        <v>433</v>
      </c>
      <c r="E458" s="6">
        <v>760</v>
      </c>
      <c r="F458" s="18">
        <v>208200.52</v>
      </c>
      <c r="G458" s="18">
        <v>894324.86</v>
      </c>
      <c r="H458" s="18"/>
      <c r="I458" s="56">
        <f t="shared" si="34"/>
        <v>1102525.3799999999</v>
      </c>
      <c r="J458" s="24" t="s">
        <v>289</v>
      </c>
      <c r="K458" s="24" t="s">
        <v>289</v>
      </c>
      <c r="L458" s="24" t="s">
        <v>289</v>
      </c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52" customFormat="1" ht="12" customHeight="1" thickTop="1" thickBot="1" x14ac:dyDescent="0.25">
      <c r="A459" s="50" t="s">
        <v>408</v>
      </c>
      <c r="B459" s="81">
        <v>18</v>
      </c>
      <c r="C459" s="51">
        <v>20</v>
      </c>
      <c r="D459" s="48" t="s">
        <v>433</v>
      </c>
      <c r="E459" s="51"/>
      <c r="F459" s="83">
        <f>SUM(F453:F458)</f>
        <v>208200.52</v>
      </c>
      <c r="G459" s="83">
        <f>SUM(G453:G458)</f>
        <v>894324.86</v>
      </c>
      <c r="H459" s="83">
        <f>SUM(H453:H458)</f>
        <v>0</v>
      </c>
      <c r="I459" s="83">
        <f>SUM(I453:I458)</f>
        <v>1102525.3799999999</v>
      </c>
      <c r="J459" s="24" t="s">
        <v>289</v>
      </c>
      <c r="K459" s="24" t="s">
        <v>289</v>
      </c>
      <c r="L459" s="24" t="s">
        <v>289</v>
      </c>
      <c r="N459" s="271"/>
    </row>
    <row r="460" spans="1:23" s="52" customFormat="1" ht="12" customHeight="1" thickTop="1" x14ac:dyDescent="0.2">
      <c r="A460" s="91" t="s">
        <v>425</v>
      </c>
      <c r="B460" s="44">
        <v>18</v>
      </c>
      <c r="C460" s="82">
        <v>21</v>
      </c>
      <c r="D460" s="157" t="s">
        <v>433</v>
      </c>
      <c r="E460" s="82"/>
      <c r="F460" s="42">
        <f>F451+F459</f>
        <v>208200.52</v>
      </c>
      <c r="G460" s="42">
        <f>G451+G459</f>
        <v>894324.86</v>
      </c>
      <c r="H460" s="42">
        <f>H451+H459</f>
        <v>0</v>
      </c>
      <c r="I460" s="42">
        <f>I451+I459</f>
        <v>1102525.3799999999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x14ac:dyDescent="0.2">
      <c r="A461" s="92"/>
      <c r="B461" s="75"/>
      <c r="C461" s="80"/>
      <c r="D461" s="80"/>
      <c r="E461" s="80"/>
      <c r="F461" s="53"/>
      <c r="G461" s="53"/>
      <c r="H461" s="53"/>
      <c r="I461" s="53"/>
      <c r="J461" s="53"/>
      <c r="K461" s="53"/>
      <c r="L461" s="53"/>
      <c r="N461" s="271"/>
    </row>
    <row r="462" spans="1:23" s="52" customFormat="1" ht="12" customHeight="1" x14ac:dyDescent="0.2">
      <c r="A462" s="92" t="s">
        <v>9</v>
      </c>
      <c r="B462" s="75"/>
      <c r="C462" s="80"/>
      <c r="D462" s="80"/>
      <c r="E462" s="80"/>
      <c r="F462" s="23" t="s">
        <v>274</v>
      </c>
      <c r="G462" s="23" t="s">
        <v>275</v>
      </c>
      <c r="H462" s="23" t="s">
        <v>276</v>
      </c>
      <c r="I462" s="23" t="s">
        <v>277</v>
      </c>
      <c r="J462" s="23" t="s">
        <v>278</v>
      </c>
      <c r="K462" s="53"/>
      <c r="L462" s="53"/>
      <c r="N462" s="271"/>
    </row>
    <row r="463" spans="1:23" s="52" customFormat="1" ht="12" customHeight="1" x14ac:dyDescent="0.2">
      <c r="A463" s="92"/>
      <c r="B463" s="75"/>
      <c r="C463" s="80"/>
      <c r="D463" s="80"/>
      <c r="E463" s="80"/>
      <c r="F463" s="84" t="s">
        <v>10</v>
      </c>
      <c r="G463" s="84" t="s">
        <v>11</v>
      </c>
      <c r="H463" s="84" t="s">
        <v>12</v>
      </c>
      <c r="I463" s="84" t="s">
        <v>13</v>
      </c>
      <c r="J463" s="84" t="s">
        <v>14</v>
      </c>
      <c r="K463" s="53"/>
      <c r="L463" s="53"/>
      <c r="N463" s="271"/>
    </row>
    <row r="464" spans="1:23" s="52" customFormat="1" ht="12" customHeight="1" x14ac:dyDescent="0.2">
      <c r="A464" s="189" t="s">
        <v>899</v>
      </c>
      <c r="B464" s="105">
        <v>19</v>
      </c>
      <c r="C464" s="111">
        <v>1</v>
      </c>
      <c r="D464" s="2" t="s">
        <v>433</v>
      </c>
      <c r="E464" s="111"/>
      <c r="F464" s="18">
        <v>587690.02</v>
      </c>
      <c r="G464" s="18">
        <v>81735.06</v>
      </c>
      <c r="H464" s="18">
        <v>7277.55</v>
      </c>
      <c r="I464" s="18">
        <v>0</v>
      </c>
      <c r="J464" s="18">
        <v>983408.02</v>
      </c>
      <c r="K464" s="24" t="s">
        <v>289</v>
      </c>
      <c r="L464" s="24" t="s">
        <v>289</v>
      </c>
      <c r="N464" s="271"/>
    </row>
    <row r="465" spans="1:14" s="52" customFormat="1" ht="12" customHeight="1" x14ac:dyDescent="0.2">
      <c r="A465" s="24" t="s">
        <v>289</v>
      </c>
      <c r="B465" s="24" t="s">
        <v>289</v>
      </c>
      <c r="C465" s="24" t="s">
        <v>289</v>
      </c>
      <c r="D465" s="24"/>
      <c r="E465" s="24"/>
      <c r="F465" s="24" t="s">
        <v>289</v>
      </c>
      <c r="G465" s="24" t="s">
        <v>289</v>
      </c>
      <c r="H465" s="24" t="s">
        <v>289</v>
      </c>
      <c r="I465" s="24" t="s">
        <v>289</v>
      </c>
      <c r="J465" s="24" t="s">
        <v>289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94" t="s">
        <v>15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3" t="s">
        <v>614</v>
      </c>
      <c r="B467" s="75">
        <v>19</v>
      </c>
      <c r="C467" s="80">
        <v>2</v>
      </c>
      <c r="D467" s="2" t="s">
        <v>433</v>
      </c>
      <c r="E467" s="80"/>
      <c r="F467" s="18">
        <v>17909583.780000001</v>
      </c>
      <c r="G467" s="18">
        <v>520555.77</v>
      </c>
      <c r="H467" s="18">
        <v>1049635.08</v>
      </c>
      <c r="I467" s="18"/>
      <c r="J467" s="18">
        <v>512894.58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615</v>
      </c>
      <c r="B468" s="75">
        <v>19</v>
      </c>
      <c r="C468" s="80">
        <v>3</v>
      </c>
      <c r="D468" s="2" t="s">
        <v>433</v>
      </c>
      <c r="E468" s="80"/>
      <c r="F468" s="18"/>
      <c r="G468" s="18"/>
      <c r="H468" s="18"/>
      <c r="I468" s="18"/>
      <c r="J468" s="18"/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2" t="s">
        <v>426</v>
      </c>
      <c r="B469" s="75">
        <v>19</v>
      </c>
      <c r="C469" s="80">
        <v>4</v>
      </c>
      <c r="D469" s="2" t="s">
        <v>433</v>
      </c>
      <c r="E469" s="80"/>
      <c r="F469" s="53">
        <f>SUM(F467:F468)</f>
        <v>17909583.780000001</v>
      </c>
      <c r="G469" s="53">
        <f>SUM(G467:G468)</f>
        <v>520555.77</v>
      </c>
      <c r="H469" s="53">
        <f>SUM(H467:H468)</f>
        <v>1049635.08</v>
      </c>
      <c r="I469" s="53">
        <f>SUM(I467:I468)</f>
        <v>0</v>
      </c>
      <c r="J469" s="53">
        <f>SUM(J467:J468)</f>
        <v>512894.58</v>
      </c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4" t="s">
        <v>16</v>
      </c>
      <c r="B470" s="24" t="s">
        <v>289</v>
      </c>
      <c r="C470" s="24" t="s">
        <v>289</v>
      </c>
      <c r="D470" s="24"/>
      <c r="E470" s="24"/>
      <c r="F470" s="24" t="s">
        <v>289</v>
      </c>
      <c r="G470" s="24" t="s">
        <v>289</v>
      </c>
      <c r="H470" s="24" t="s">
        <v>289</v>
      </c>
      <c r="I470" s="24" t="s">
        <v>289</v>
      </c>
      <c r="J470" s="24" t="s">
        <v>289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3" t="s">
        <v>616</v>
      </c>
      <c r="B471" s="75">
        <v>19</v>
      </c>
      <c r="C471" s="80">
        <v>5</v>
      </c>
      <c r="D471" s="2" t="s">
        <v>433</v>
      </c>
      <c r="E471" s="80"/>
      <c r="F471" s="18">
        <v>17781305.399999999</v>
      </c>
      <c r="G471" s="18">
        <v>544862.05000000005</v>
      </c>
      <c r="H471" s="18">
        <v>1046155.4</v>
      </c>
      <c r="I471" s="18"/>
      <c r="J471" s="18">
        <v>393777.22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617</v>
      </c>
      <c r="B472" s="75">
        <v>19</v>
      </c>
      <c r="C472" s="80">
        <v>6</v>
      </c>
      <c r="D472" s="2" t="s">
        <v>433</v>
      </c>
      <c r="E472" s="80"/>
      <c r="F472" s="18"/>
      <c r="G472" s="18"/>
      <c r="H472" s="18"/>
      <c r="I472" s="18"/>
      <c r="J472" s="18"/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2" t="s">
        <v>427</v>
      </c>
      <c r="B473" s="75">
        <v>19</v>
      </c>
      <c r="C473" s="80">
        <v>7</v>
      </c>
      <c r="D473" s="2" t="s">
        <v>433</v>
      </c>
      <c r="E473" s="80"/>
      <c r="F473" s="53">
        <f>SUM(F471:F472)</f>
        <v>17781305.399999999</v>
      </c>
      <c r="G473" s="53">
        <f>SUM(G471:G472)</f>
        <v>544862.05000000005</v>
      </c>
      <c r="H473" s="53">
        <f>SUM(H471:H472)</f>
        <v>1046155.4</v>
      </c>
      <c r="I473" s="53">
        <f>SUM(I471:I472)</f>
        <v>0</v>
      </c>
      <c r="J473" s="53">
        <f>SUM(J471:J472)</f>
        <v>393777.22</v>
      </c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24" t="s">
        <v>289</v>
      </c>
      <c r="B474" s="24" t="s">
        <v>289</v>
      </c>
      <c r="C474" s="24" t="s">
        <v>289</v>
      </c>
      <c r="D474" s="24"/>
      <c r="E474" s="24"/>
      <c r="F474" s="24" t="s">
        <v>289</v>
      </c>
      <c r="G474" s="24" t="s">
        <v>289</v>
      </c>
      <c r="H474" s="24" t="s">
        <v>289</v>
      </c>
      <c r="I474" s="24" t="s">
        <v>289</v>
      </c>
      <c r="J474" s="24" t="s">
        <v>289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190" t="s">
        <v>900</v>
      </c>
      <c r="B475" s="75">
        <v>19</v>
      </c>
      <c r="C475" s="115">
        <v>8</v>
      </c>
      <c r="D475" s="2" t="s">
        <v>433</v>
      </c>
      <c r="E475" s="115"/>
      <c r="F475" s="53">
        <f>(F464+F469)- F473</f>
        <v>715968.40000000224</v>
      </c>
      <c r="G475" s="53">
        <f>(G464+G469)- G473</f>
        <v>57428.780000000028</v>
      </c>
      <c r="H475" s="53">
        <f>(H464+H469)- H473</f>
        <v>10757.230000000098</v>
      </c>
      <c r="I475" s="53">
        <f>(I464+I469)- I473</f>
        <v>0</v>
      </c>
      <c r="J475" s="53">
        <f>(J464+J469)- J473</f>
        <v>1102525.3800000001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95"/>
      <c r="B476" s="95"/>
      <c r="C476" s="95"/>
      <c r="D476" s="95"/>
      <c r="E476" s="95"/>
      <c r="F476" s="95"/>
      <c r="G476" s="95"/>
      <c r="H476" s="95"/>
      <c r="I476" s="95"/>
      <c r="J476" s="95"/>
      <c r="K476" s="95"/>
      <c r="L476" s="95"/>
      <c r="N476" s="271"/>
    </row>
    <row r="477" spans="1:14" s="52" customFormat="1" ht="12" customHeight="1" x14ac:dyDescent="0.2">
      <c r="A477" s="95" t="s">
        <v>661</v>
      </c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699</v>
      </c>
      <c r="B478" s="112"/>
      <c r="C478" s="112"/>
      <c r="D478" s="112"/>
      <c r="E478" s="112"/>
      <c r="F478" s="112"/>
      <c r="G478" s="112"/>
      <c r="H478" s="112"/>
      <c r="I478" s="112" t="s">
        <v>17</v>
      </c>
      <c r="J478" s="112"/>
      <c r="K478" s="95"/>
      <c r="L478" s="95"/>
      <c r="N478" s="271"/>
    </row>
    <row r="479" spans="1:14" s="52" customFormat="1" ht="12" customHeight="1" x14ac:dyDescent="0.2">
      <c r="A479" s="18"/>
      <c r="B479" s="112"/>
      <c r="C479" s="112"/>
      <c r="D479" s="112"/>
      <c r="E479" s="112"/>
      <c r="F479" s="112"/>
      <c r="G479" s="112"/>
      <c r="H479" s="112"/>
      <c r="I479" s="112" t="s">
        <v>402</v>
      </c>
      <c r="J479" s="112"/>
      <c r="K479" s="95"/>
      <c r="L479" s="95"/>
      <c r="N479" s="271"/>
    </row>
    <row r="480" spans="1:14" s="52" customFormat="1" ht="12" customHeight="1" x14ac:dyDescent="0.2">
      <c r="A480" s="175"/>
      <c r="B480" s="112"/>
      <c r="C480" s="112"/>
      <c r="D480" s="112"/>
      <c r="E480" s="112"/>
      <c r="F480" s="112"/>
      <c r="G480" s="112"/>
      <c r="H480" s="112"/>
      <c r="I480" s="112" t="s">
        <v>654</v>
      </c>
      <c r="J480" s="112"/>
      <c r="K480" s="95"/>
      <c r="L480" s="95"/>
      <c r="N480" s="271"/>
    </row>
    <row r="481" spans="1:14" s="52" customFormat="1" ht="12" customHeight="1" x14ac:dyDescent="0.2">
      <c r="A481" s="95" t="s">
        <v>700</v>
      </c>
      <c r="B481" s="112"/>
      <c r="C481" s="112"/>
      <c r="D481" s="112"/>
      <c r="E481" s="112"/>
      <c r="F481" s="112"/>
      <c r="G481" s="112"/>
      <c r="H481" s="112"/>
      <c r="I481" s="112" t="s">
        <v>474</v>
      </c>
      <c r="J481" s="112"/>
      <c r="K481" s="95"/>
      <c r="L481" s="95"/>
      <c r="N481" s="271"/>
    </row>
    <row r="482" spans="1:14" s="52" customFormat="1" ht="12" customHeight="1" x14ac:dyDescent="0.2">
      <c r="A482" s="174"/>
      <c r="B482" s="112"/>
      <c r="C482" s="112"/>
      <c r="D482" s="112"/>
      <c r="E482" s="112"/>
      <c r="F482" s="112"/>
      <c r="G482" s="112"/>
      <c r="H482" s="112"/>
      <c r="I482" s="112" t="s">
        <v>18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475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476</v>
      </c>
      <c r="J484" s="112"/>
      <c r="K484" s="95"/>
      <c r="L484" s="95"/>
      <c r="N484" s="271"/>
    </row>
    <row r="485" spans="1:14" s="52" customFormat="1" ht="12" customHeight="1" x14ac:dyDescent="0.2">
      <c r="A485" s="22"/>
      <c r="B485" s="112"/>
      <c r="C485" s="112"/>
      <c r="D485" s="112"/>
      <c r="E485" s="112"/>
      <c r="F485" s="112"/>
      <c r="G485" s="112"/>
      <c r="H485" s="112"/>
      <c r="I485" s="112"/>
      <c r="J485" s="112"/>
      <c r="K485" s="95"/>
      <c r="L485" s="95"/>
      <c r="N485" s="271"/>
    </row>
    <row r="486" spans="1:14" s="52" customFormat="1" ht="12" customHeight="1" x14ac:dyDescent="0.2">
      <c r="A486" s="96" t="s">
        <v>19</v>
      </c>
      <c r="B486" s="105"/>
      <c r="C486" s="115"/>
      <c r="D486" s="115"/>
      <c r="E486" s="115"/>
      <c r="F486" s="116"/>
      <c r="G486" s="116"/>
      <c r="H486" s="116"/>
      <c r="I486" s="116"/>
      <c r="J486" s="116"/>
      <c r="K486" s="116"/>
      <c r="L486" s="116"/>
      <c r="N486" s="271"/>
    </row>
    <row r="487" spans="1:14" s="52" customFormat="1" ht="12" customHeight="1" x14ac:dyDescent="0.2">
      <c r="A487" s="147" t="s">
        <v>901</v>
      </c>
      <c r="B487" s="105"/>
      <c r="C487" s="115"/>
      <c r="D487" s="115"/>
      <c r="E487" s="115"/>
      <c r="F487" s="15" t="s">
        <v>265</v>
      </c>
      <c r="G487" s="15" t="s">
        <v>266</v>
      </c>
      <c r="H487" s="15" t="s">
        <v>267</v>
      </c>
      <c r="I487" s="15" t="s">
        <v>268</v>
      </c>
      <c r="J487" s="15" t="s">
        <v>269</v>
      </c>
      <c r="K487" s="15" t="s">
        <v>270</v>
      </c>
      <c r="L487" s="116"/>
      <c r="N487" s="271"/>
    </row>
    <row r="488" spans="1:14" s="52" customFormat="1" ht="12" customHeight="1" x14ac:dyDescent="0.2">
      <c r="A488" s="96" t="s">
        <v>21</v>
      </c>
      <c r="B488" s="105"/>
      <c r="C488" s="115"/>
      <c r="D488" s="115"/>
      <c r="E488" s="115"/>
      <c r="F488" s="117" t="s">
        <v>22</v>
      </c>
      <c r="G488" s="117" t="s">
        <v>23</v>
      </c>
      <c r="H488" s="117" t="s">
        <v>24</v>
      </c>
      <c r="I488" s="117" t="s">
        <v>25</v>
      </c>
      <c r="J488" s="117" t="s">
        <v>26</v>
      </c>
      <c r="K488" s="117" t="s">
        <v>341</v>
      </c>
      <c r="L488" s="116"/>
      <c r="N488" s="271"/>
    </row>
    <row r="489" spans="1:14" s="52" customFormat="1" ht="12" customHeight="1" x14ac:dyDescent="0.2">
      <c r="A489" s="22" t="s">
        <v>618</v>
      </c>
      <c r="B489" s="75">
        <v>20</v>
      </c>
      <c r="C489" s="115">
        <v>1</v>
      </c>
      <c r="D489" s="2" t="s">
        <v>433</v>
      </c>
      <c r="E489" s="115"/>
      <c r="F489" s="154">
        <v>12</v>
      </c>
      <c r="G489" s="154"/>
      <c r="H489" s="154"/>
      <c r="I489" s="154"/>
      <c r="J489" s="154"/>
      <c r="K489" s="24" t="s">
        <v>289</v>
      </c>
      <c r="L489" s="24" t="s">
        <v>289</v>
      </c>
      <c r="N489" s="271"/>
    </row>
    <row r="490" spans="1:14" s="52" customFormat="1" ht="12" customHeight="1" x14ac:dyDescent="0.2">
      <c r="A490" s="22" t="s">
        <v>619</v>
      </c>
      <c r="B490" s="75">
        <v>20</v>
      </c>
      <c r="C490" s="115">
        <v>2</v>
      </c>
      <c r="D490" s="2" t="s">
        <v>433</v>
      </c>
      <c r="E490" s="115"/>
      <c r="F490" s="155" t="s">
        <v>909</v>
      </c>
      <c r="G490" s="155"/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620</v>
      </c>
      <c r="B491" s="75">
        <v>20</v>
      </c>
      <c r="C491" s="115">
        <v>3</v>
      </c>
      <c r="D491" s="2" t="s">
        <v>433</v>
      </c>
      <c r="E491" s="115"/>
      <c r="F491" s="155" t="s">
        <v>910</v>
      </c>
      <c r="G491" s="155"/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621</v>
      </c>
      <c r="B492" s="75">
        <v>20</v>
      </c>
      <c r="C492" s="115">
        <v>4</v>
      </c>
      <c r="D492" s="2" t="s">
        <v>433</v>
      </c>
      <c r="E492" s="115"/>
      <c r="F492" s="18">
        <v>2100000</v>
      </c>
      <c r="G492" s="18"/>
      <c r="H492" s="18"/>
      <c r="I492" s="18"/>
      <c r="J492" s="18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622</v>
      </c>
      <c r="B493" s="75">
        <v>20</v>
      </c>
      <c r="C493" s="115">
        <v>5</v>
      </c>
      <c r="D493" s="2" t="s">
        <v>433</v>
      </c>
      <c r="E493" s="115"/>
      <c r="F493" s="18">
        <v>0</v>
      </c>
      <c r="G493" s="18"/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623</v>
      </c>
      <c r="B494" s="75">
        <v>20</v>
      </c>
      <c r="C494" s="115">
        <v>6</v>
      </c>
      <c r="D494" s="2" t="s">
        <v>433</v>
      </c>
      <c r="E494" s="115"/>
      <c r="F494" s="18">
        <v>175000</v>
      </c>
      <c r="G494" s="18"/>
      <c r="H494" s="18"/>
      <c r="I494" s="18"/>
      <c r="J494" s="18"/>
      <c r="K494" s="53">
        <f>SUM(F494:J494)</f>
        <v>175000</v>
      </c>
      <c r="L494" s="24" t="s">
        <v>289</v>
      </c>
      <c r="N494" s="271"/>
    </row>
    <row r="495" spans="1:14" s="52" customFormat="1" ht="12" customHeight="1" x14ac:dyDescent="0.2">
      <c r="A495" s="22" t="s">
        <v>624</v>
      </c>
      <c r="B495" s="75">
        <v>20</v>
      </c>
      <c r="C495" s="115">
        <v>7</v>
      </c>
      <c r="D495" s="2" t="s">
        <v>433</v>
      </c>
      <c r="E495" s="115"/>
      <c r="F495" s="18">
        <v>0</v>
      </c>
      <c r="G495" s="18"/>
      <c r="H495" s="18"/>
      <c r="I495" s="18"/>
      <c r="J495" s="18"/>
      <c r="K495" s="53">
        <f t="shared" ref="K495:K502" si="35">SUM(F495:J495)</f>
        <v>0</v>
      </c>
      <c r="L495" s="24" t="s">
        <v>289</v>
      </c>
      <c r="N495" s="271"/>
    </row>
    <row r="496" spans="1:14" s="52" customFormat="1" ht="12" customHeight="1" x14ac:dyDescent="0.2">
      <c r="A496" s="22" t="s">
        <v>625</v>
      </c>
      <c r="B496" s="75">
        <v>20</v>
      </c>
      <c r="C496" s="115">
        <v>8</v>
      </c>
      <c r="D496" s="2" t="s">
        <v>433</v>
      </c>
      <c r="E496" s="115"/>
      <c r="F496" s="18">
        <v>175000</v>
      </c>
      <c r="G496" s="18"/>
      <c r="H496" s="18"/>
      <c r="I496" s="18"/>
      <c r="J496" s="18"/>
      <c r="K496" s="53">
        <f t="shared" si="35"/>
        <v>175000</v>
      </c>
      <c r="L496" s="24" t="s">
        <v>289</v>
      </c>
      <c r="N496" s="271"/>
    </row>
    <row r="497" spans="1:14" s="52" customFormat="1" ht="12" customHeight="1" x14ac:dyDescent="0.2">
      <c r="A497" s="200" t="s">
        <v>626</v>
      </c>
      <c r="B497" s="201">
        <v>20</v>
      </c>
      <c r="C497" s="202">
        <v>9</v>
      </c>
      <c r="D497" s="203" t="s">
        <v>433</v>
      </c>
      <c r="E497" s="202"/>
      <c r="F497" s="204">
        <v>0</v>
      </c>
      <c r="G497" s="204"/>
      <c r="H497" s="204"/>
      <c r="I497" s="204"/>
      <c r="J497" s="204"/>
      <c r="K497" s="205">
        <f t="shared" si="35"/>
        <v>0</v>
      </c>
      <c r="L497" s="206" t="s">
        <v>289</v>
      </c>
      <c r="N497" s="271"/>
    </row>
    <row r="498" spans="1:14" s="52" customFormat="1" ht="12" customHeight="1" thickBot="1" x14ac:dyDescent="0.25">
      <c r="A498" s="22" t="s">
        <v>627</v>
      </c>
      <c r="B498" s="75">
        <v>20</v>
      </c>
      <c r="C498" s="115">
        <v>10</v>
      </c>
      <c r="D498" s="2" t="s">
        <v>433</v>
      </c>
      <c r="E498" s="115"/>
      <c r="F498" s="18">
        <v>0</v>
      </c>
      <c r="G498" s="18"/>
      <c r="H498" s="18"/>
      <c r="I498" s="18"/>
      <c r="J498" s="18"/>
      <c r="K498" s="53">
        <f t="shared" si="35"/>
        <v>0</v>
      </c>
      <c r="L498" s="24" t="s">
        <v>289</v>
      </c>
      <c r="N498" s="271"/>
    </row>
    <row r="499" spans="1:14" s="52" customFormat="1" ht="12" customHeight="1" thickTop="1" x14ac:dyDescent="0.2">
      <c r="A499" s="139" t="s">
        <v>628</v>
      </c>
      <c r="B499" s="44">
        <v>20</v>
      </c>
      <c r="C499" s="195">
        <v>11</v>
      </c>
      <c r="D499" s="39" t="s">
        <v>433</v>
      </c>
      <c r="E499" s="195"/>
      <c r="F499" s="42">
        <f>SUM(F497:F498)</f>
        <v>0</v>
      </c>
      <c r="G499" s="42">
        <f>SUM(G497:G498)</f>
        <v>0</v>
      </c>
      <c r="H499" s="42">
        <f>SUM(H497:H498)</f>
        <v>0</v>
      </c>
      <c r="I499" s="42">
        <f>SUM(I497:I498)</f>
        <v>0</v>
      </c>
      <c r="J499" s="42">
        <f>SUM(J497:J498)</f>
        <v>0</v>
      </c>
      <c r="K499" s="42">
        <f t="shared" si="35"/>
        <v>0</v>
      </c>
      <c r="L499" s="45" t="s">
        <v>289</v>
      </c>
      <c r="N499" s="271"/>
    </row>
    <row r="500" spans="1:14" s="52" customFormat="1" ht="12" customHeight="1" x14ac:dyDescent="0.2">
      <c r="A500" s="200" t="s">
        <v>655</v>
      </c>
      <c r="B500" s="201">
        <v>20</v>
      </c>
      <c r="C500" s="202">
        <v>12</v>
      </c>
      <c r="D500" s="203" t="s">
        <v>433</v>
      </c>
      <c r="E500" s="202"/>
      <c r="F500" s="204">
        <v>0</v>
      </c>
      <c r="G500" s="204"/>
      <c r="H500" s="204"/>
      <c r="I500" s="204"/>
      <c r="J500" s="204"/>
      <c r="K500" s="205">
        <f t="shared" si="35"/>
        <v>0</v>
      </c>
      <c r="L500" s="206" t="s">
        <v>289</v>
      </c>
      <c r="N500" s="271"/>
    </row>
    <row r="501" spans="1:14" s="52" customFormat="1" ht="12" customHeight="1" thickBot="1" x14ac:dyDescent="0.25">
      <c r="A501" s="22" t="s">
        <v>629</v>
      </c>
      <c r="B501" s="75">
        <v>20</v>
      </c>
      <c r="C501" s="115">
        <v>13</v>
      </c>
      <c r="D501" s="2" t="s">
        <v>433</v>
      </c>
      <c r="E501" s="115"/>
      <c r="F501" s="18">
        <v>0</v>
      </c>
      <c r="G501" s="18"/>
      <c r="H501" s="18"/>
      <c r="I501" s="18"/>
      <c r="J501" s="18"/>
      <c r="K501" s="53">
        <f t="shared" si="35"/>
        <v>0</v>
      </c>
      <c r="L501" s="24" t="s">
        <v>289</v>
      </c>
      <c r="N501" s="271"/>
    </row>
    <row r="502" spans="1:14" s="52" customFormat="1" ht="12" customHeight="1" thickTop="1" x14ac:dyDescent="0.2">
      <c r="A502" s="139" t="s">
        <v>630</v>
      </c>
      <c r="B502" s="44">
        <v>20</v>
      </c>
      <c r="C502" s="195">
        <v>14</v>
      </c>
      <c r="D502" s="39" t="s">
        <v>433</v>
      </c>
      <c r="E502" s="195"/>
      <c r="F502" s="42">
        <f>SUM(F500:F501)</f>
        <v>0</v>
      </c>
      <c r="G502" s="42">
        <f>SUM(G500:G501)</f>
        <v>0</v>
      </c>
      <c r="H502" s="42">
        <f>SUM(H500:H501)</f>
        <v>0</v>
      </c>
      <c r="I502" s="42">
        <f>SUM(I500:I501)</f>
        <v>0</v>
      </c>
      <c r="J502" s="42">
        <f>SUM(J500:J501)</f>
        <v>0</v>
      </c>
      <c r="K502" s="42">
        <f t="shared" si="35"/>
        <v>0</v>
      </c>
      <c r="L502" s="45" t="s">
        <v>289</v>
      </c>
      <c r="N502" s="271"/>
    </row>
    <row r="503" spans="1:14" s="52" customFormat="1" ht="12" customHeight="1" x14ac:dyDescent="0.2">
      <c r="A503" s="96"/>
      <c r="B503" s="105"/>
      <c r="C503" s="115"/>
      <c r="D503" s="115"/>
      <c r="E503" s="115"/>
      <c r="F503" s="103"/>
      <c r="G503" s="103"/>
      <c r="H503" s="106"/>
      <c r="I503" s="106"/>
      <c r="J503" s="106"/>
      <c r="K503" s="106"/>
      <c r="L503" s="106"/>
      <c r="N503" s="271"/>
    </row>
    <row r="504" spans="1:14" s="52" customFormat="1" ht="12" customHeight="1" x14ac:dyDescent="0.2"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B505" s="105"/>
      <c r="F505" s="52" t="s">
        <v>41</v>
      </c>
      <c r="G505" s="103" t="s">
        <v>42</v>
      </c>
      <c r="H505" s="103" t="s">
        <v>43</v>
      </c>
      <c r="I505" s="106" t="s">
        <v>44</v>
      </c>
      <c r="J505" s="24" t="s">
        <v>289</v>
      </c>
      <c r="K505" s="24" t="s">
        <v>289</v>
      </c>
      <c r="L505" s="24" t="s">
        <v>289</v>
      </c>
      <c r="N505" s="271"/>
    </row>
    <row r="506" spans="1:14" s="52" customFormat="1" ht="12" customHeight="1" x14ac:dyDescent="0.2">
      <c r="A506" s="96" t="s">
        <v>40</v>
      </c>
      <c r="B506" s="105">
        <v>20</v>
      </c>
      <c r="C506" s="115">
        <v>15</v>
      </c>
      <c r="D506" s="2" t="s">
        <v>433</v>
      </c>
      <c r="E506" s="115"/>
      <c r="F506" s="144"/>
      <c r="G506" s="144"/>
      <c r="H506" s="144"/>
      <c r="I506" s="144"/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45</v>
      </c>
      <c r="B507" s="22"/>
      <c r="C507" s="22"/>
      <c r="D507" s="22"/>
      <c r="E507" s="22"/>
      <c r="F507" s="22"/>
      <c r="G507" s="22"/>
      <c r="H507" s="22"/>
      <c r="I507" s="22"/>
      <c r="J507" s="53"/>
      <c r="K507" s="53"/>
      <c r="L507" s="53"/>
      <c r="N507" s="271"/>
    </row>
    <row r="508" spans="1:14" s="52" customFormat="1" ht="12" customHeight="1" x14ac:dyDescent="0.2">
      <c r="A508" s="147" t="s">
        <v>902</v>
      </c>
      <c r="B508" s="22"/>
      <c r="C508" s="22"/>
      <c r="D508" s="22"/>
      <c r="E508" s="22"/>
      <c r="F508" s="122" t="s">
        <v>46</v>
      </c>
      <c r="G508" s="122"/>
      <c r="H508" s="123" t="s">
        <v>47</v>
      </c>
      <c r="I508" s="123"/>
      <c r="J508" s="53"/>
      <c r="K508" s="53"/>
      <c r="L508" s="53"/>
      <c r="N508" s="271"/>
    </row>
    <row r="509" spans="1:14" s="52" customFormat="1" ht="12" customHeight="1" x14ac:dyDescent="0.2">
      <c r="A509" s="96"/>
      <c r="B509" s="22"/>
      <c r="C509" s="22"/>
      <c r="D509" s="22"/>
      <c r="E509" s="22"/>
      <c r="F509" s="113" t="s">
        <v>48</v>
      </c>
      <c r="G509" s="113" t="s">
        <v>49</v>
      </c>
      <c r="H509" s="114" t="s">
        <v>48</v>
      </c>
      <c r="I509" s="114" t="s">
        <v>49</v>
      </c>
      <c r="J509" s="53"/>
      <c r="K509" s="53"/>
      <c r="L509" s="53"/>
      <c r="N509" s="271"/>
    </row>
    <row r="510" spans="1:14" s="52" customFormat="1" ht="12" customHeight="1" x14ac:dyDescent="0.2">
      <c r="A510" s="22" t="s">
        <v>631</v>
      </c>
      <c r="B510" s="75">
        <v>20</v>
      </c>
      <c r="C510" s="115">
        <v>16</v>
      </c>
      <c r="D510" s="2" t="s">
        <v>433</v>
      </c>
      <c r="E510" s="115">
        <v>210</v>
      </c>
      <c r="F510" s="18"/>
      <c r="G510" s="24" t="s">
        <v>289</v>
      </c>
      <c r="H510" s="18"/>
      <c r="I510" s="24" t="s">
        <v>289</v>
      </c>
      <c r="J510" s="24" t="s">
        <v>289</v>
      </c>
      <c r="K510" s="24" t="s">
        <v>289</v>
      </c>
      <c r="L510" s="24" t="s">
        <v>289</v>
      </c>
      <c r="N510" s="271"/>
    </row>
    <row r="511" spans="1:14" s="52" customFormat="1" ht="12" customHeight="1" x14ac:dyDescent="0.2">
      <c r="A511" s="22" t="s">
        <v>632</v>
      </c>
      <c r="B511" s="75">
        <v>20</v>
      </c>
      <c r="C511" s="115">
        <v>17</v>
      </c>
      <c r="D511" s="2" t="s">
        <v>433</v>
      </c>
      <c r="E511" s="115">
        <v>220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633</v>
      </c>
      <c r="B512" s="75">
        <v>20</v>
      </c>
      <c r="C512" s="115">
        <v>18</v>
      </c>
      <c r="D512" s="2" t="s">
        <v>433</v>
      </c>
      <c r="E512" s="115">
        <v>230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634</v>
      </c>
      <c r="B513" s="75">
        <v>20</v>
      </c>
      <c r="C513" s="115">
        <v>19</v>
      </c>
      <c r="D513" s="2" t="s">
        <v>433</v>
      </c>
      <c r="E513" s="115">
        <v>240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635</v>
      </c>
      <c r="B514" s="75">
        <v>20</v>
      </c>
      <c r="C514" s="115">
        <v>20</v>
      </c>
      <c r="D514" s="2" t="s">
        <v>433</v>
      </c>
      <c r="E514" s="115">
        <v>250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thickBot="1" x14ac:dyDescent="0.25">
      <c r="A515" s="22" t="s">
        <v>636</v>
      </c>
      <c r="B515" s="75">
        <v>20</v>
      </c>
      <c r="C515" s="115">
        <v>21</v>
      </c>
      <c r="D515" s="2" t="s">
        <v>433</v>
      </c>
      <c r="E515" s="115">
        <v>710</v>
      </c>
      <c r="F515" s="24" t="s">
        <v>289</v>
      </c>
      <c r="G515" s="18"/>
      <c r="H515" s="24" t="s">
        <v>289</v>
      </c>
      <c r="I515" s="18"/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Top="1" x14ac:dyDescent="0.2">
      <c r="A516" s="96" t="s">
        <v>428</v>
      </c>
      <c r="B516" s="75">
        <v>20</v>
      </c>
      <c r="C516" s="115">
        <v>22</v>
      </c>
      <c r="D516" s="2" t="s">
        <v>433</v>
      </c>
      <c r="E516" s="115"/>
      <c r="F516" s="42">
        <f>SUM(F510:F515)</f>
        <v>0</v>
      </c>
      <c r="G516" s="42">
        <f>SUM(G510:G515)</f>
        <v>0</v>
      </c>
      <c r="H516" s="42">
        <f>SUM(H510:H515)</f>
        <v>0</v>
      </c>
      <c r="I516" s="42">
        <f>SUM(I510:I515)</f>
        <v>0</v>
      </c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x14ac:dyDescent="0.2">
      <c r="A517" s="96" t="s">
        <v>702</v>
      </c>
      <c r="B517" s="105"/>
      <c r="C517" s="115"/>
      <c r="D517" s="115"/>
      <c r="E517" s="115"/>
      <c r="F517" s="177" t="s">
        <v>693</v>
      </c>
      <c r="G517" s="177" t="s">
        <v>694</v>
      </c>
      <c r="H517" s="177" t="s">
        <v>695</v>
      </c>
      <c r="I517" s="177" t="s">
        <v>696</v>
      </c>
      <c r="J517" s="177" t="s">
        <v>697</v>
      </c>
      <c r="K517" s="177" t="s">
        <v>698</v>
      </c>
      <c r="L517" s="106"/>
      <c r="N517" s="271"/>
    </row>
    <row r="518" spans="1:14" s="52" customFormat="1" ht="12" customHeight="1" x14ac:dyDescent="0.2">
      <c r="A518" s="178" t="s">
        <v>701</v>
      </c>
      <c r="B518" s="105"/>
      <c r="C518" s="115"/>
      <c r="D518" s="115"/>
      <c r="E518" s="115"/>
      <c r="F518" s="103" t="s">
        <v>54</v>
      </c>
      <c r="G518" s="103" t="s">
        <v>55</v>
      </c>
      <c r="H518" s="106" t="s">
        <v>56</v>
      </c>
      <c r="I518" s="106" t="s">
        <v>57</v>
      </c>
      <c r="J518" s="106" t="s">
        <v>58</v>
      </c>
      <c r="K518" s="106" t="s">
        <v>59</v>
      </c>
      <c r="L518" s="106" t="s">
        <v>5</v>
      </c>
      <c r="N518" s="271"/>
    </row>
    <row r="519" spans="1:14" s="52" customFormat="1" ht="12" customHeight="1" x14ac:dyDescent="0.2">
      <c r="A519" s="96" t="s">
        <v>60</v>
      </c>
      <c r="B519" s="105"/>
      <c r="C519" s="115"/>
      <c r="D519" s="115"/>
      <c r="E519" s="115"/>
      <c r="F519" s="24" t="s">
        <v>289</v>
      </c>
      <c r="G519" s="24" t="s">
        <v>289</v>
      </c>
      <c r="H519" s="24" t="s">
        <v>289</v>
      </c>
      <c r="I519" s="24" t="s">
        <v>289</v>
      </c>
      <c r="J519" s="24" t="s">
        <v>289</v>
      </c>
      <c r="K519" s="24" t="s">
        <v>289</v>
      </c>
      <c r="L519" s="24" t="s">
        <v>289</v>
      </c>
      <c r="N519" s="271"/>
    </row>
    <row r="520" spans="1:14" s="52" customFormat="1" ht="12" customHeight="1" x14ac:dyDescent="0.2">
      <c r="A520" s="22" t="s">
        <v>637</v>
      </c>
      <c r="B520" s="105">
        <v>21</v>
      </c>
      <c r="C520" s="115">
        <v>1</v>
      </c>
      <c r="D520" s="2" t="s">
        <v>433</v>
      </c>
      <c r="E520" s="115"/>
      <c r="F520" s="18">
        <v>940622.31</v>
      </c>
      <c r="G520" s="18">
        <v>469388.52</v>
      </c>
      <c r="H520" s="18">
        <v>149950.65</v>
      </c>
      <c r="I520" s="18">
        <v>19276.740000000002</v>
      </c>
      <c r="J520" s="18">
        <v>618.78</v>
      </c>
      <c r="K520" s="18">
        <v>859.48</v>
      </c>
      <c r="L520" s="88">
        <f>SUM(F520:K520)</f>
        <v>1580716.48</v>
      </c>
      <c r="N520" s="271"/>
    </row>
    <row r="521" spans="1:14" s="52" customFormat="1" ht="12" customHeight="1" x14ac:dyDescent="0.2">
      <c r="A521" s="22" t="s">
        <v>638</v>
      </c>
      <c r="B521" s="105">
        <v>21</v>
      </c>
      <c r="C521" s="115">
        <v>2</v>
      </c>
      <c r="D521" s="2" t="s">
        <v>433</v>
      </c>
      <c r="E521" s="115"/>
      <c r="F521" s="18"/>
      <c r="G521" s="18"/>
      <c r="H521" s="18"/>
      <c r="I521" s="18"/>
      <c r="J521" s="18"/>
      <c r="K521" s="18"/>
      <c r="L521" s="88">
        <f>SUM(F521:K521)</f>
        <v>0</v>
      </c>
      <c r="N521" s="271"/>
    </row>
    <row r="522" spans="1:14" s="52" customFormat="1" ht="12" customHeight="1" thickBot="1" x14ac:dyDescent="0.25">
      <c r="A522" s="22" t="s">
        <v>639</v>
      </c>
      <c r="B522" s="105">
        <v>21</v>
      </c>
      <c r="C522" s="115">
        <v>3</v>
      </c>
      <c r="D522" s="2" t="s">
        <v>433</v>
      </c>
      <c r="E522" s="115"/>
      <c r="F522" s="18">
        <v>375016.82</v>
      </c>
      <c r="G522" s="18">
        <v>201722.5</v>
      </c>
      <c r="H522" s="18">
        <v>150626</v>
      </c>
      <c r="I522" s="18">
        <v>2204.36</v>
      </c>
      <c r="J522" s="18">
        <v>993.99</v>
      </c>
      <c r="K522" s="18">
        <v>0</v>
      </c>
      <c r="L522" s="88">
        <f>SUM(F522:K522)</f>
        <v>730563.67</v>
      </c>
      <c r="N522" s="271"/>
    </row>
    <row r="523" spans="1:14" s="52" customFormat="1" ht="12" customHeight="1" thickTop="1" x14ac:dyDescent="0.2">
      <c r="A523" s="139" t="s">
        <v>63</v>
      </c>
      <c r="B523" s="107">
        <v>21</v>
      </c>
      <c r="C523" s="195">
        <v>4</v>
      </c>
      <c r="D523" s="196" t="s">
        <v>433</v>
      </c>
      <c r="E523" s="195"/>
      <c r="F523" s="108">
        <f>SUM(F520:F522)</f>
        <v>1315639.1300000001</v>
      </c>
      <c r="G523" s="108">
        <f t="shared" ref="G523:L523" si="36">SUM(G520:G522)</f>
        <v>671111.02</v>
      </c>
      <c r="H523" s="108">
        <f t="shared" si="36"/>
        <v>300576.65000000002</v>
      </c>
      <c r="I523" s="108">
        <f t="shared" si="36"/>
        <v>21481.100000000002</v>
      </c>
      <c r="J523" s="108">
        <f t="shared" si="36"/>
        <v>1612.77</v>
      </c>
      <c r="K523" s="108">
        <f t="shared" si="36"/>
        <v>859.48</v>
      </c>
      <c r="L523" s="89">
        <f t="shared" si="36"/>
        <v>2311280.15</v>
      </c>
      <c r="N523" s="271"/>
    </row>
    <row r="524" spans="1:14" s="52" customFormat="1" ht="12" customHeight="1" x14ac:dyDescent="0.2">
      <c r="A524" s="96" t="s">
        <v>64</v>
      </c>
      <c r="B524" s="105"/>
      <c r="C524" s="115"/>
      <c r="D524" s="115"/>
      <c r="E524" s="115"/>
      <c r="F524" s="24" t="s">
        <v>289</v>
      </c>
      <c r="G524" s="24" t="s">
        <v>289</v>
      </c>
      <c r="H524" s="24" t="s">
        <v>289</v>
      </c>
      <c r="I524" s="24" t="s">
        <v>289</v>
      </c>
      <c r="J524" s="24" t="s">
        <v>289</v>
      </c>
      <c r="K524" s="24" t="s">
        <v>289</v>
      </c>
      <c r="L524" s="24" t="s">
        <v>289</v>
      </c>
      <c r="N524" s="271"/>
    </row>
    <row r="525" spans="1:14" s="3" customFormat="1" ht="12" customHeight="1" x14ac:dyDescent="0.15">
      <c r="A525" s="22" t="s">
        <v>637</v>
      </c>
      <c r="B525" s="105">
        <v>21</v>
      </c>
      <c r="C525" s="115">
        <v>5</v>
      </c>
      <c r="D525" s="2" t="s">
        <v>433</v>
      </c>
      <c r="E525" s="115"/>
      <c r="F525" s="18">
        <v>558359.57999999996</v>
      </c>
      <c r="G525" s="18">
        <v>249893.72</v>
      </c>
      <c r="H525" s="18">
        <v>77024.570000000007</v>
      </c>
      <c r="I525" s="18">
        <v>37524.18</v>
      </c>
      <c r="J525" s="18">
        <v>5341.69</v>
      </c>
      <c r="K525" s="18">
        <v>0</v>
      </c>
      <c r="L525" s="88">
        <f>SUM(F525:K525)</f>
        <v>928143.73999999987</v>
      </c>
      <c r="M525" s="8"/>
      <c r="N525" s="272"/>
    </row>
    <row r="526" spans="1:14" s="3" customFormat="1" ht="12" customHeight="1" x14ac:dyDescent="0.15">
      <c r="A526" s="22" t="s">
        <v>638</v>
      </c>
      <c r="B526" s="105">
        <v>21</v>
      </c>
      <c r="C526" s="115">
        <v>6</v>
      </c>
      <c r="D526" s="2" t="s">
        <v>433</v>
      </c>
      <c r="E526" s="115"/>
      <c r="F526" s="18"/>
      <c r="G526" s="18"/>
      <c r="H526" s="18"/>
      <c r="I526" s="18"/>
      <c r="J526" s="18"/>
      <c r="K526" s="18"/>
      <c r="L526" s="88">
        <f>SUM(F526:K526)</f>
        <v>0</v>
      </c>
      <c r="M526" s="8"/>
      <c r="N526" s="272"/>
    </row>
    <row r="527" spans="1:14" s="3" customFormat="1" ht="12" customHeight="1" thickBot="1" x14ac:dyDescent="0.2">
      <c r="A527" s="22" t="s">
        <v>639</v>
      </c>
      <c r="B527" s="118">
        <v>21</v>
      </c>
      <c r="C527" s="118">
        <v>7</v>
      </c>
      <c r="D527" s="2" t="s">
        <v>433</v>
      </c>
      <c r="E527" s="118"/>
      <c r="F527" s="18">
        <v>109060.1</v>
      </c>
      <c r="G527" s="18">
        <v>42386.12</v>
      </c>
      <c r="H527" s="18">
        <v>36720.400000000001</v>
      </c>
      <c r="I527" s="18">
        <v>6128.54</v>
      </c>
      <c r="J527" s="18">
        <v>2630.98</v>
      </c>
      <c r="K527" s="18">
        <v>0</v>
      </c>
      <c r="L527" s="88">
        <f>SUM(F527:K527)</f>
        <v>196926.14</v>
      </c>
      <c r="M527" s="8"/>
      <c r="N527" s="272"/>
    </row>
    <row r="528" spans="1:14" s="3" customFormat="1" ht="12" customHeight="1" thickTop="1" x14ac:dyDescent="0.15">
      <c r="A528" s="139" t="s">
        <v>65</v>
      </c>
      <c r="B528" s="107">
        <v>21</v>
      </c>
      <c r="C528" s="107">
        <v>8</v>
      </c>
      <c r="D528" s="158" t="s">
        <v>433</v>
      </c>
      <c r="E528" s="107"/>
      <c r="F528" s="89">
        <f>SUM(F525:F527)</f>
        <v>667419.67999999993</v>
      </c>
      <c r="G528" s="89">
        <f>SUM(G525:G527)</f>
        <v>292279.84000000003</v>
      </c>
      <c r="H528" s="89">
        <f t="shared" ref="H528:L528" si="37">SUM(H525:H527)</f>
        <v>113744.97</v>
      </c>
      <c r="I528" s="89">
        <f t="shared" si="37"/>
        <v>43652.72</v>
      </c>
      <c r="J528" s="89">
        <f t="shared" si="37"/>
        <v>7972.67</v>
      </c>
      <c r="K528" s="89">
        <f t="shared" si="37"/>
        <v>0</v>
      </c>
      <c r="L528" s="89">
        <f t="shared" si="37"/>
        <v>1125069.8799999999</v>
      </c>
      <c r="M528" s="8"/>
      <c r="N528" s="272"/>
    </row>
    <row r="529" spans="1:14" s="3" customFormat="1" ht="12" customHeight="1" x14ac:dyDescent="0.15">
      <c r="A529" s="97" t="s">
        <v>66</v>
      </c>
      <c r="B529" s="105"/>
      <c r="C529" s="105"/>
      <c r="D529" s="105"/>
      <c r="E529" s="105"/>
      <c r="F529" s="24" t="s">
        <v>289</v>
      </c>
      <c r="G529" s="24" t="s">
        <v>289</v>
      </c>
      <c r="H529" s="24" t="s">
        <v>289</v>
      </c>
      <c r="I529" s="24" t="s">
        <v>289</v>
      </c>
      <c r="J529" s="24" t="s">
        <v>289</v>
      </c>
      <c r="K529" s="24" t="s">
        <v>289</v>
      </c>
      <c r="L529" s="24" t="s">
        <v>289</v>
      </c>
      <c r="M529" s="8"/>
      <c r="N529" s="272"/>
    </row>
    <row r="530" spans="1:14" s="3" customFormat="1" ht="12" customHeight="1" x14ac:dyDescent="0.15">
      <c r="A530" s="22" t="s">
        <v>637</v>
      </c>
      <c r="B530" s="105">
        <v>21</v>
      </c>
      <c r="C530" s="105">
        <v>9</v>
      </c>
      <c r="D530" s="2" t="s">
        <v>433</v>
      </c>
      <c r="E530" s="105"/>
      <c r="F530" s="18">
        <v>168122.37</v>
      </c>
      <c r="G530" s="18">
        <v>71173.59</v>
      </c>
      <c r="H530" s="18">
        <v>4986.47</v>
      </c>
      <c r="I530" s="18">
        <v>1036.54</v>
      </c>
      <c r="J530" s="18">
        <v>1417.74</v>
      </c>
      <c r="K530" s="18">
        <v>38921.550000000003</v>
      </c>
      <c r="L530" s="88">
        <f>SUM(F530:K530)</f>
        <v>285658.26</v>
      </c>
      <c r="M530" s="8"/>
      <c r="N530" s="272"/>
    </row>
    <row r="531" spans="1:14" s="3" customFormat="1" ht="12" customHeight="1" x14ac:dyDescent="0.15">
      <c r="A531" s="22" t="s">
        <v>638</v>
      </c>
      <c r="B531" s="105">
        <v>21</v>
      </c>
      <c r="C531" s="105">
        <v>10</v>
      </c>
      <c r="D531" s="2" t="s">
        <v>433</v>
      </c>
      <c r="E531" s="105"/>
      <c r="F531" s="18"/>
      <c r="G531" s="18"/>
      <c r="H531" s="18"/>
      <c r="I531" s="18"/>
      <c r="J531" s="18"/>
      <c r="K531" s="18"/>
      <c r="L531" s="88">
        <f>SUM(F531:K531)</f>
        <v>0</v>
      </c>
      <c r="M531" s="8"/>
      <c r="N531" s="272"/>
    </row>
    <row r="532" spans="1:14" s="3" customFormat="1" ht="12" customHeight="1" thickBot="1" x14ac:dyDescent="0.2">
      <c r="A532" s="22" t="s">
        <v>639</v>
      </c>
      <c r="B532" s="105">
        <v>21</v>
      </c>
      <c r="C532" s="105">
        <v>11</v>
      </c>
      <c r="D532" s="2" t="s">
        <v>433</v>
      </c>
      <c r="E532" s="105"/>
      <c r="F532" s="18">
        <v>71387.69</v>
      </c>
      <c r="G532" s="18">
        <v>28435.439999999999</v>
      </c>
      <c r="H532" s="18">
        <v>873.95</v>
      </c>
      <c r="I532" s="18">
        <v>355.22</v>
      </c>
      <c r="J532" s="18">
        <v>698.29</v>
      </c>
      <c r="K532" s="18">
        <v>8026.36</v>
      </c>
      <c r="L532" s="88">
        <f>SUM(F532:K532)</f>
        <v>109776.95</v>
      </c>
      <c r="M532" s="8"/>
      <c r="N532" s="272"/>
    </row>
    <row r="533" spans="1:14" s="3" customFormat="1" ht="12" customHeight="1" thickTop="1" x14ac:dyDescent="0.15">
      <c r="A533" s="139" t="s">
        <v>67</v>
      </c>
      <c r="B533" s="107">
        <v>21</v>
      </c>
      <c r="C533" s="107">
        <v>12</v>
      </c>
      <c r="D533" s="158" t="s">
        <v>433</v>
      </c>
      <c r="E533" s="107"/>
      <c r="F533" s="89">
        <f>SUM(F530:F532)</f>
        <v>239510.06</v>
      </c>
      <c r="G533" s="89">
        <f t="shared" ref="G533:L533" si="38">SUM(G530:G532)</f>
        <v>99609.03</v>
      </c>
      <c r="H533" s="89">
        <f t="shared" si="38"/>
        <v>5860.42</v>
      </c>
      <c r="I533" s="89">
        <f t="shared" si="38"/>
        <v>1391.76</v>
      </c>
      <c r="J533" s="89">
        <f t="shared" si="38"/>
        <v>2116.0299999999997</v>
      </c>
      <c r="K533" s="89">
        <f t="shared" si="38"/>
        <v>46947.91</v>
      </c>
      <c r="L533" s="89">
        <f t="shared" si="38"/>
        <v>395435.21</v>
      </c>
      <c r="M533" s="8"/>
      <c r="N533" s="272"/>
    </row>
    <row r="534" spans="1:14" s="3" customFormat="1" ht="12" customHeight="1" x14ac:dyDescent="0.15">
      <c r="A534" s="97" t="s">
        <v>68</v>
      </c>
      <c r="B534" s="105"/>
      <c r="C534" s="105"/>
      <c r="D534" s="105"/>
      <c r="E534" s="105"/>
      <c r="F534" s="194" t="s">
        <v>289</v>
      </c>
      <c r="G534" s="194" t="s">
        <v>289</v>
      </c>
      <c r="H534" s="194" t="s">
        <v>289</v>
      </c>
      <c r="I534" s="194" t="s">
        <v>289</v>
      </c>
      <c r="J534" s="194" t="s">
        <v>289</v>
      </c>
      <c r="K534" s="194" t="s">
        <v>289</v>
      </c>
      <c r="L534" s="194" t="s">
        <v>289</v>
      </c>
      <c r="M534" s="8"/>
      <c r="N534" s="272"/>
    </row>
    <row r="535" spans="1:14" s="3" customFormat="1" ht="12" customHeight="1" x14ac:dyDescent="0.15">
      <c r="A535" s="22" t="s">
        <v>637</v>
      </c>
      <c r="B535" s="105">
        <v>21</v>
      </c>
      <c r="C535" s="105">
        <v>13</v>
      </c>
      <c r="D535" s="2" t="s">
        <v>433</v>
      </c>
      <c r="E535" s="105"/>
      <c r="F535" s="18"/>
      <c r="G535" s="18"/>
      <c r="H535" s="18"/>
      <c r="I535" s="18"/>
      <c r="J535" s="18"/>
      <c r="K535" s="18"/>
      <c r="L535" s="88">
        <f>SUM(F535:K535)</f>
        <v>0</v>
      </c>
      <c r="M535" s="8"/>
      <c r="N535" s="272"/>
    </row>
    <row r="536" spans="1:14" s="3" customFormat="1" ht="12" customHeight="1" x14ac:dyDescent="0.15">
      <c r="A536" s="22" t="s">
        <v>638</v>
      </c>
      <c r="B536" s="105">
        <v>21</v>
      </c>
      <c r="C536" s="105">
        <v>14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" customHeight="1" thickBot="1" x14ac:dyDescent="0.2">
      <c r="A537" s="22" t="s">
        <v>639</v>
      </c>
      <c r="B537" s="105">
        <v>21</v>
      </c>
      <c r="C537" s="105">
        <v>15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Top="1" x14ac:dyDescent="0.15">
      <c r="A538" s="139" t="s">
        <v>69</v>
      </c>
      <c r="B538" s="107">
        <v>21</v>
      </c>
      <c r="C538" s="107">
        <v>16</v>
      </c>
      <c r="D538" s="158" t="s">
        <v>433</v>
      </c>
      <c r="E538" s="107"/>
      <c r="F538" s="89">
        <f>SUM(F535:F537)</f>
        <v>0</v>
      </c>
      <c r="G538" s="89">
        <f t="shared" ref="G538:L538" si="39">SUM(G535:G537)</f>
        <v>0</v>
      </c>
      <c r="H538" s="89">
        <f t="shared" si="39"/>
        <v>0</v>
      </c>
      <c r="I538" s="89">
        <f t="shared" si="39"/>
        <v>0</v>
      </c>
      <c r="J538" s="89">
        <f t="shared" si="39"/>
        <v>0</v>
      </c>
      <c r="K538" s="89">
        <f t="shared" si="39"/>
        <v>0</v>
      </c>
      <c r="L538" s="89">
        <f t="shared" si="39"/>
        <v>0</v>
      </c>
      <c r="M538" s="8"/>
      <c r="N538" s="272"/>
    </row>
    <row r="539" spans="1:14" s="3" customFormat="1" ht="12" customHeight="1" x14ac:dyDescent="0.15">
      <c r="A539" s="97" t="s">
        <v>70</v>
      </c>
      <c r="B539" s="105"/>
      <c r="C539" s="105"/>
      <c r="D539" s="105"/>
      <c r="E539" s="105"/>
      <c r="F539" s="24" t="s">
        <v>289</v>
      </c>
      <c r="G539" s="24" t="s">
        <v>289</v>
      </c>
      <c r="H539" s="24" t="s">
        <v>289</v>
      </c>
      <c r="I539" s="24" t="s">
        <v>289</v>
      </c>
      <c r="J539" s="24" t="s">
        <v>289</v>
      </c>
      <c r="K539" s="24" t="s">
        <v>289</v>
      </c>
      <c r="L539" s="24" t="s">
        <v>289</v>
      </c>
      <c r="M539" s="8"/>
      <c r="N539" s="272"/>
    </row>
    <row r="540" spans="1:14" s="3" customFormat="1" ht="12" customHeight="1" x14ac:dyDescent="0.15">
      <c r="A540" s="22" t="s">
        <v>637</v>
      </c>
      <c r="B540" s="105">
        <v>21</v>
      </c>
      <c r="C540" s="105">
        <v>17</v>
      </c>
      <c r="D540" s="2" t="s">
        <v>433</v>
      </c>
      <c r="E540" s="105"/>
      <c r="F540" s="18">
        <v>13382</v>
      </c>
      <c r="G540" s="18">
        <v>7249.96</v>
      </c>
      <c r="H540" s="18">
        <v>73333.25</v>
      </c>
      <c r="I540" s="18">
        <v>3785.35</v>
      </c>
      <c r="J540" s="18"/>
      <c r="K540" s="18"/>
      <c r="L540" s="88">
        <f>SUM(F540:K540)</f>
        <v>97750.56</v>
      </c>
      <c r="M540" s="8"/>
      <c r="N540" s="272"/>
    </row>
    <row r="541" spans="1:14" s="3" customFormat="1" ht="12" customHeight="1" x14ac:dyDescent="0.15">
      <c r="A541" s="22" t="s">
        <v>638</v>
      </c>
      <c r="B541" s="105">
        <v>21</v>
      </c>
      <c r="C541" s="105">
        <v>18</v>
      </c>
      <c r="D541" s="2" t="s">
        <v>433</v>
      </c>
      <c r="E541" s="105"/>
      <c r="F541" s="18"/>
      <c r="G541" s="18"/>
      <c r="H541" s="18"/>
      <c r="I541" s="18"/>
      <c r="J541" s="18"/>
      <c r="K541" s="18"/>
      <c r="L541" s="88">
        <f>SUM(F541:K541)</f>
        <v>0</v>
      </c>
      <c r="M541" s="8"/>
      <c r="N541" s="272"/>
    </row>
    <row r="542" spans="1:14" s="3" customFormat="1" ht="12" customHeight="1" thickBot="1" x14ac:dyDescent="0.2">
      <c r="A542" s="22" t="s">
        <v>639</v>
      </c>
      <c r="B542" s="105">
        <v>21</v>
      </c>
      <c r="C542" s="105">
        <v>19</v>
      </c>
      <c r="D542" s="2" t="s">
        <v>433</v>
      </c>
      <c r="E542" s="105"/>
      <c r="F542" s="18">
        <v>6591.14</v>
      </c>
      <c r="G542" s="18">
        <v>3570.88</v>
      </c>
      <c r="H542" s="18">
        <v>36119.379999999997</v>
      </c>
      <c r="I542" s="18">
        <v>1864.43</v>
      </c>
      <c r="J542" s="18"/>
      <c r="K542" s="18"/>
      <c r="L542" s="88">
        <f>SUM(F542:K542)</f>
        <v>48145.829999999994</v>
      </c>
      <c r="M542" s="8"/>
      <c r="N542" s="272"/>
    </row>
    <row r="543" spans="1:14" s="3" customFormat="1" ht="12" customHeight="1" thickTop="1" thickBot="1" x14ac:dyDescent="0.2">
      <c r="A543" s="130" t="s">
        <v>71</v>
      </c>
      <c r="B543" s="191">
        <v>21</v>
      </c>
      <c r="C543" s="191">
        <v>20</v>
      </c>
      <c r="D543" s="192" t="s">
        <v>433</v>
      </c>
      <c r="E543" s="191"/>
      <c r="F543" s="193">
        <f>SUM(F540:F542)</f>
        <v>19973.14</v>
      </c>
      <c r="G543" s="193">
        <f t="shared" ref="G543:L543" si="40">SUM(G540:G542)</f>
        <v>10820.84</v>
      </c>
      <c r="H543" s="193">
        <f t="shared" si="40"/>
        <v>109452.63</v>
      </c>
      <c r="I543" s="193">
        <f t="shared" si="40"/>
        <v>5649.78</v>
      </c>
      <c r="J543" s="193">
        <f t="shared" si="40"/>
        <v>0</v>
      </c>
      <c r="K543" s="193">
        <f t="shared" si="40"/>
        <v>0</v>
      </c>
      <c r="L543" s="193">
        <f t="shared" si="40"/>
        <v>145896.38999999998</v>
      </c>
      <c r="M543" s="8"/>
      <c r="N543" s="272"/>
    </row>
    <row r="544" spans="1:14" s="3" customFormat="1" ht="12" customHeight="1" thickTop="1" x14ac:dyDescent="0.15">
      <c r="A544" s="98" t="s">
        <v>72</v>
      </c>
      <c r="B544" s="107">
        <v>21</v>
      </c>
      <c r="C544" s="107">
        <v>21</v>
      </c>
      <c r="D544" s="158" t="s">
        <v>433</v>
      </c>
      <c r="E544" s="107"/>
      <c r="F544" s="89">
        <f>F523+F528+F533+F538+F543</f>
        <v>2242542.0100000002</v>
      </c>
      <c r="G544" s="89">
        <f t="shared" ref="G544:L544" si="41">G523+G528+G533+G538+G543</f>
        <v>1073820.7300000002</v>
      </c>
      <c r="H544" s="89">
        <f t="shared" si="41"/>
        <v>529634.66999999993</v>
      </c>
      <c r="I544" s="89">
        <f t="shared" si="41"/>
        <v>72175.360000000001</v>
      </c>
      <c r="J544" s="89">
        <f t="shared" si="41"/>
        <v>11701.470000000001</v>
      </c>
      <c r="K544" s="89">
        <f t="shared" si="41"/>
        <v>47807.390000000007</v>
      </c>
      <c r="L544" s="89">
        <f t="shared" si="41"/>
        <v>3977681.63</v>
      </c>
      <c r="M544" s="8"/>
      <c r="N544" s="272"/>
    </row>
    <row r="545" spans="1:14" s="3" customFormat="1" ht="12" customHeight="1" x14ac:dyDescent="0.15">
      <c r="A545" s="99"/>
      <c r="B545" s="105"/>
      <c r="C545" s="105"/>
      <c r="D545" s="105"/>
      <c r="E545" s="105"/>
      <c r="F545" s="87"/>
      <c r="G545" s="87"/>
      <c r="H545" s="87"/>
      <c r="I545" s="87"/>
      <c r="J545" s="87"/>
      <c r="K545" s="87"/>
      <c r="L545" s="87"/>
      <c r="M545" s="8"/>
      <c r="N545" s="272"/>
    </row>
    <row r="546" spans="1:14" s="3" customFormat="1" ht="12" customHeight="1" x14ac:dyDescent="0.15">
      <c r="A546" s="100" t="s">
        <v>73</v>
      </c>
      <c r="B546" s="105"/>
      <c r="C546" s="105"/>
      <c r="D546" s="105"/>
      <c r="E546" s="105"/>
      <c r="F546" s="101" t="s">
        <v>74</v>
      </c>
      <c r="G546" s="87" t="s">
        <v>75</v>
      </c>
      <c r="H546" s="87" t="s">
        <v>76</v>
      </c>
      <c r="I546" s="101" t="s">
        <v>77</v>
      </c>
      <c r="J546" s="87" t="s">
        <v>78</v>
      </c>
      <c r="K546" s="101" t="s">
        <v>79</v>
      </c>
      <c r="L546" s="24" t="s">
        <v>289</v>
      </c>
      <c r="M546" s="8"/>
      <c r="N546" s="272"/>
    </row>
    <row r="547" spans="1:14" s="3" customFormat="1" ht="12" customHeight="1" x14ac:dyDescent="0.15">
      <c r="A547" s="100" t="s">
        <v>250</v>
      </c>
      <c r="B547" s="105"/>
      <c r="C547" s="105"/>
      <c r="D547" s="105"/>
      <c r="E547" s="105"/>
      <c r="F547" s="101" t="s">
        <v>80</v>
      </c>
      <c r="G547" s="101" t="s">
        <v>81</v>
      </c>
      <c r="H547" s="101" t="s">
        <v>82</v>
      </c>
      <c r="I547" s="101" t="s">
        <v>83</v>
      </c>
      <c r="J547" s="101" t="s">
        <v>84</v>
      </c>
      <c r="K547" s="87"/>
      <c r="L547" s="24" t="s">
        <v>289</v>
      </c>
      <c r="M547" s="8"/>
      <c r="N547" s="272"/>
    </row>
    <row r="548" spans="1:14" s="3" customFormat="1" ht="12" customHeight="1" x14ac:dyDescent="0.15">
      <c r="A548" s="22" t="s">
        <v>637</v>
      </c>
      <c r="B548" s="75">
        <v>21</v>
      </c>
      <c r="C548" s="75">
        <v>22</v>
      </c>
      <c r="D548" s="2" t="s">
        <v>433</v>
      </c>
      <c r="E548" s="75"/>
      <c r="F548" s="87">
        <f>L520</f>
        <v>1580716.48</v>
      </c>
      <c r="G548" s="87">
        <f>L525</f>
        <v>928143.73999999987</v>
      </c>
      <c r="H548" s="87">
        <f>L530</f>
        <v>285658.26</v>
      </c>
      <c r="I548" s="87">
        <f>L535</f>
        <v>0</v>
      </c>
      <c r="J548" s="87">
        <f>L540</f>
        <v>97750.56</v>
      </c>
      <c r="K548" s="87">
        <f>SUM(F548:J548)</f>
        <v>2892269.0399999996</v>
      </c>
      <c r="L548" s="24" t="s">
        <v>289</v>
      </c>
      <c r="M548" s="8"/>
      <c r="N548" s="272"/>
    </row>
    <row r="549" spans="1:14" s="3" customFormat="1" ht="12" customHeight="1" x14ac:dyDescent="0.15">
      <c r="A549" s="22" t="s">
        <v>638</v>
      </c>
      <c r="B549" s="75">
        <v>21</v>
      </c>
      <c r="C549" s="75">
        <v>23</v>
      </c>
      <c r="D549" s="2" t="s">
        <v>433</v>
      </c>
      <c r="E549" s="75"/>
      <c r="F549" s="87">
        <f>L521</f>
        <v>0</v>
      </c>
      <c r="G549" s="87">
        <f>L526</f>
        <v>0</v>
      </c>
      <c r="H549" s="87">
        <f>L531</f>
        <v>0</v>
      </c>
      <c r="I549" s="87">
        <f>L536</f>
        <v>0</v>
      </c>
      <c r="J549" s="87">
        <f>L541</f>
        <v>0</v>
      </c>
      <c r="K549" s="87">
        <f>SUM(F549:J549)</f>
        <v>0</v>
      </c>
      <c r="L549" s="24" t="s">
        <v>289</v>
      </c>
      <c r="M549" s="8"/>
      <c r="N549" s="272"/>
    </row>
    <row r="550" spans="1:14" s="3" customFormat="1" ht="12" customHeight="1" thickBot="1" x14ac:dyDescent="0.2">
      <c r="A550" s="22" t="s">
        <v>639</v>
      </c>
      <c r="B550" s="75">
        <v>21</v>
      </c>
      <c r="C550" s="75">
        <v>24</v>
      </c>
      <c r="D550" s="2" t="s">
        <v>433</v>
      </c>
      <c r="E550" s="75"/>
      <c r="F550" s="87">
        <f>L522</f>
        <v>730563.67</v>
      </c>
      <c r="G550" s="87">
        <f>L527</f>
        <v>196926.14</v>
      </c>
      <c r="H550" s="87">
        <f>L532</f>
        <v>109776.95</v>
      </c>
      <c r="I550" s="87">
        <f>L537</f>
        <v>0</v>
      </c>
      <c r="J550" s="87">
        <f>L542</f>
        <v>48145.829999999994</v>
      </c>
      <c r="K550" s="87">
        <f>SUM(F550:J550)</f>
        <v>1085412.5900000001</v>
      </c>
      <c r="L550" s="24" t="s">
        <v>289</v>
      </c>
      <c r="M550" s="8"/>
      <c r="N550" s="272"/>
    </row>
    <row r="551" spans="1:14" s="3" customFormat="1" ht="12" customHeight="1" thickTop="1" x14ac:dyDescent="0.15">
      <c r="A551" s="172" t="s">
        <v>341</v>
      </c>
      <c r="B551" s="44">
        <v>21</v>
      </c>
      <c r="C551" s="44">
        <v>25</v>
      </c>
      <c r="D551" s="39" t="s">
        <v>433</v>
      </c>
      <c r="E551" s="44"/>
      <c r="F551" s="89">
        <f t="shared" ref="F551:K551" si="42">SUM(F548:F550)</f>
        <v>2311280.15</v>
      </c>
      <c r="G551" s="89">
        <f t="shared" si="42"/>
        <v>1125069.8799999999</v>
      </c>
      <c r="H551" s="89">
        <f t="shared" si="42"/>
        <v>395435.21</v>
      </c>
      <c r="I551" s="89">
        <f t="shared" si="42"/>
        <v>0</v>
      </c>
      <c r="J551" s="89">
        <f t="shared" si="42"/>
        <v>145896.38999999998</v>
      </c>
      <c r="K551" s="89">
        <f t="shared" si="42"/>
        <v>3977681.63</v>
      </c>
      <c r="L551" s="24"/>
      <c r="M551" s="8"/>
      <c r="N551" s="272"/>
    </row>
    <row r="552" spans="1:14" s="3" customFormat="1" ht="12" customHeight="1" x14ac:dyDescent="0.15">
      <c r="A552" s="96" t="s">
        <v>583</v>
      </c>
      <c r="B552" s="105"/>
      <c r="C552" s="105"/>
      <c r="D552" s="105"/>
      <c r="E552" s="105"/>
      <c r="F552" s="87"/>
      <c r="G552" s="87"/>
      <c r="H552" s="87"/>
      <c r="I552" s="87"/>
      <c r="J552" s="87"/>
      <c r="K552" s="87"/>
      <c r="L552" s="87"/>
      <c r="M552" s="8"/>
      <c r="N552" s="272"/>
    </row>
    <row r="553" spans="1:14" s="3" customFormat="1" ht="12" customHeight="1" x14ac:dyDescent="0.15">
      <c r="B553" s="105"/>
      <c r="C553" s="115"/>
      <c r="D553" s="115"/>
      <c r="E553" s="115"/>
      <c r="F553" s="177" t="s">
        <v>693</v>
      </c>
      <c r="G553" s="177" t="s">
        <v>694</v>
      </c>
      <c r="H553" s="177" t="s">
        <v>695</v>
      </c>
      <c r="I553" s="177" t="s">
        <v>696</v>
      </c>
      <c r="J553" s="177" t="s">
        <v>697</v>
      </c>
      <c r="K553" s="177" t="s">
        <v>698</v>
      </c>
      <c r="L553" s="106"/>
      <c r="M553" s="8"/>
      <c r="N553" s="272"/>
    </row>
    <row r="554" spans="1:14" s="3" customFormat="1" ht="12" customHeight="1" x14ac:dyDescent="0.15">
      <c r="A554" s="96" t="s">
        <v>50</v>
      </c>
      <c r="B554" s="105"/>
      <c r="C554" s="115"/>
      <c r="D554" s="115"/>
      <c r="E554" s="115"/>
      <c r="F554" s="103" t="s">
        <v>54</v>
      </c>
      <c r="G554" s="103" t="s">
        <v>55</v>
      </c>
      <c r="H554" s="106" t="s">
        <v>56</v>
      </c>
      <c r="I554" s="106" t="s">
        <v>57</v>
      </c>
      <c r="J554" s="106" t="s">
        <v>58</v>
      </c>
      <c r="K554" s="106" t="s">
        <v>59</v>
      </c>
      <c r="L554" s="106" t="s">
        <v>5</v>
      </c>
      <c r="M554" s="8"/>
      <c r="N554" s="272"/>
    </row>
    <row r="555" spans="1:14" s="3" customFormat="1" ht="12" customHeight="1" x14ac:dyDescent="0.15">
      <c r="A555" s="96" t="s">
        <v>85</v>
      </c>
      <c r="B555" s="105"/>
      <c r="C555" s="115"/>
      <c r="D555" s="115"/>
      <c r="E555" s="115"/>
      <c r="F555" s="24" t="s">
        <v>289</v>
      </c>
      <c r="G555" s="24" t="s">
        <v>289</v>
      </c>
      <c r="H555" s="24" t="s">
        <v>289</v>
      </c>
      <c r="I555" s="24" t="s">
        <v>289</v>
      </c>
      <c r="J555" s="24" t="s">
        <v>289</v>
      </c>
      <c r="K555" s="24" t="s">
        <v>289</v>
      </c>
      <c r="L555" s="24" t="s">
        <v>289</v>
      </c>
      <c r="M555" s="8"/>
      <c r="N555" s="272"/>
    </row>
    <row r="556" spans="1:14" s="3" customFormat="1" ht="12" customHeight="1" x14ac:dyDescent="0.15">
      <c r="A556" s="22" t="s">
        <v>637</v>
      </c>
      <c r="B556" s="105">
        <v>22</v>
      </c>
      <c r="C556" s="115">
        <v>1</v>
      </c>
      <c r="D556" s="2" t="s">
        <v>433</v>
      </c>
      <c r="E556" s="115"/>
      <c r="F556" s="18"/>
      <c r="G556" s="18"/>
      <c r="H556" s="18"/>
      <c r="I556" s="18"/>
      <c r="J556" s="18"/>
      <c r="K556" s="18"/>
      <c r="L556" s="88">
        <f>SUM(F556:K556)</f>
        <v>0</v>
      </c>
      <c r="M556" s="8"/>
      <c r="N556" s="272"/>
    </row>
    <row r="557" spans="1:14" s="3" customFormat="1" ht="12" customHeight="1" x14ac:dyDescent="0.15">
      <c r="A557" s="22" t="s">
        <v>638</v>
      </c>
      <c r="B557" s="105">
        <v>22</v>
      </c>
      <c r="C557" s="115">
        <v>2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thickBot="1" x14ac:dyDescent="0.2">
      <c r="A558" s="22" t="s">
        <v>639</v>
      </c>
      <c r="B558" s="105">
        <v>22</v>
      </c>
      <c r="C558" s="115">
        <v>3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Top="1" x14ac:dyDescent="0.15">
      <c r="A559" s="139" t="s">
        <v>63</v>
      </c>
      <c r="B559" s="107">
        <v>22</v>
      </c>
      <c r="C559" s="195">
        <v>4</v>
      </c>
      <c r="D559" s="196" t="s">
        <v>433</v>
      </c>
      <c r="E559" s="195"/>
      <c r="F559" s="108">
        <f t="shared" ref="F559:L559" si="43">SUM(F556:F558)</f>
        <v>0</v>
      </c>
      <c r="G559" s="108">
        <f t="shared" si="43"/>
        <v>0</v>
      </c>
      <c r="H559" s="108">
        <f t="shared" si="43"/>
        <v>0</v>
      </c>
      <c r="I559" s="108">
        <f t="shared" si="43"/>
        <v>0</v>
      </c>
      <c r="J559" s="108">
        <f t="shared" si="43"/>
        <v>0</v>
      </c>
      <c r="K559" s="108">
        <f t="shared" si="43"/>
        <v>0</v>
      </c>
      <c r="L559" s="89">
        <f t="shared" si="43"/>
        <v>0</v>
      </c>
      <c r="M559" s="8"/>
      <c r="N559" s="272"/>
    </row>
    <row r="560" spans="1:14" s="3" customFormat="1" ht="12" customHeight="1" x14ac:dyDescent="0.15">
      <c r="A560" s="96" t="s">
        <v>86</v>
      </c>
      <c r="B560" s="105"/>
      <c r="C560" s="115"/>
      <c r="D560" s="115"/>
      <c r="E560" s="115"/>
      <c r="F560" s="24" t="s">
        <v>289</v>
      </c>
      <c r="G560" s="24" t="s">
        <v>289</v>
      </c>
      <c r="H560" s="24" t="s">
        <v>289</v>
      </c>
      <c r="I560" s="24" t="s">
        <v>289</v>
      </c>
      <c r="J560" s="24" t="s">
        <v>289</v>
      </c>
      <c r="K560" s="24" t="s">
        <v>289</v>
      </c>
      <c r="L560" s="24" t="s">
        <v>289</v>
      </c>
      <c r="M560" s="8"/>
      <c r="N560" s="272"/>
    </row>
    <row r="561" spans="1:14" s="3" customFormat="1" ht="12" customHeight="1" x14ac:dyDescent="0.15">
      <c r="A561" s="22" t="s">
        <v>637</v>
      </c>
      <c r="B561" s="105">
        <v>22</v>
      </c>
      <c r="C561" s="115">
        <v>5</v>
      </c>
      <c r="D561" s="2" t="s">
        <v>433</v>
      </c>
      <c r="E561" s="115"/>
      <c r="F561" s="18">
        <v>26632.5</v>
      </c>
      <c r="G561" s="18">
        <v>17613.05</v>
      </c>
      <c r="H561" s="18">
        <v>377.19</v>
      </c>
      <c r="I561" s="18"/>
      <c r="J561" s="18"/>
      <c r="K561" s="18"/>
      <c r="L561" s="88">
        <f>SUM(F561:K561)</f>
        <v>44622.740000000005</v>
      </c>
      <c r="M561" s="8"/>
      <c r="N561" s="272"/>
    </row>
    <row r="562" spans="1:14" s="3" customFormat="1" ht="12" customHeight="1" x14ac:dyDescent="0.15">
      <c r="A562" s="22" t="s">
        <v>638</v>
      </c>
      <c r="B562" s="105">
        <v>22</v>
      </c>
      <c r="C562" s="115">
        <v>6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thickBot="1" x14ac:dyDescent="0.2">
      <c r="A563" s="22" t="s">
        <v>639</v>
      </c>
      <c r="B563" s="105">
        <v>22</v>
      </c>
      <c r="C563" s="118">
        <v>7</v>
      </c>
      <c r="D563" s="2" t="s">
        <v>433</v>
      </c>
      <c r="E563" s="118"/>
      <c r="F563" s="18">
        <v>13117.5</v>
      </c>
      <c r="G563" s="18">
        <v>8675.08</v>
      </c>
      <c r="H563" s="18">
        <v>185.78</v>
      </c>
      <c r="I563" s="18"/>
      <c r="J563" s="18"/>
      <c r="K563" s="18"/>
      <c r="L563" s="88">
        <f>SUM(F563:K563)</f>
        <v>21978.36</v>
      </c>
      <c r="M563" s="8"/>
      <c r="N563" s="272"/>
    </row>
    <row r="564" spans="1:14" s="3" customFormat="1" ht="12" customHeight="1" thickTop="1" x14ac:dyDescent="0.15">
      <c r="A564" s="139" t="s">
        <v>65</v>
      </c>
      <c r="B564" s="107">
        <v>22</v>
      </c>
      <c r="C564" s="107">
        <v>8</v>
      </c>
      <c r="D564" s="196" t="s">
        <v>433</v>
      </c>
      <c r="E564" s="107"/>
      <c r="F564" s="89">
        <f t="shared" ref="F564:L564" si="44">SUM(F561:F563)</f>
        <v>39750</v>
      </c>
      <c r="G564" s="89">
        <f t="shared" si="44"/>
        <v>26288.129999999997</v>
      </c>
      <c r="H564" s="89">
        <f t="shared" si="44"/>
        <v>562.97</v>
      </c>
      <c r="I564" s="89">
        <f t="shared" si="44"/>
        <v>0</v>
      </c>
      <c r="J564" s="89">
        <f t="shared" si="44"/>
        <v>0</v>
      </c>
      <c r="K564" s="89">
        <f t="shared" si="44"/>
        <v>0</v>
      </c>
      <c r="L564" s="89">
        <f t="shared" si="44"/>
        <v>66601.100000000006</v>
      </c>
      <c r="M564" s="8"/>
      <c r="N564" s="272"/>
    </row>
    <row r="565" spans="1:14" s="3" customFormat="1" ht="12" customHeight="1" x14ac:dyDescent="0.15">
      <c r="A565" s="97" t="s">
        <v>87</v>
      </c>
      <c r="B565" s="105"/>
      <c r="C565" s="105"/>
      <c r="D565" s="105"/>
      <c r="E565" s="105"/>
      <c r="F565" s="24" t="s">
        <v>289</v>
      </c>
      <c r="G565" s="24" t="s">
        <v>289</v>
      </c>
      <c r="H565" s="24" t="s">
        <v>289</v>
      </c>
      <c r="I565" s="24" t="s">
        <v>289</v>
      </c>
      <c r="J565" s="24" t="s">
        <v>289</v>
      </c>
      <c r="K565" s="24" t="s">
        <v>289</v>
      </c>
      <c r="L565" s="24" t="s">
        <v>289</v>
      </c>
      <c r="M565" s="8"/>
      <c r="N565" s="272"/>
    </row>
    <row r="566" spans="1:14" s="3" customFormat="1" ht="12" customHeight="1" x14ac:dyDescent="0.15">
      <c r="A566" s="22" t="s">
        <v>637</v>
      </c>
      <c r="B566" s="105">
        <v>22</v>
      </c>
      <c r="C566" s="105">
        <v>9</v>
      </c>
      <c r="D566" s="2" t="s">
        <v>433</v>
      </c>
      <c r="E566" s="105"/>
      <c r="F566" s="18"/>
      <c r="G566" s="18"/>
      <c r="H566" s="18"/>
      <c r="I566" s="18"/>
      <c r="J566" s="18"/>
      <c r="K566" s="18"/>
      <c r="L566" s="88">
        <f>SUM(F566:K566)</f>
        <v>0</v>
      </c>
      <c r="M566" s="8"/>
      <c r="N566" s="272"/>
    </row>
    <row r="567" spans="1:14" s="3" customFormat="1" ht="12" customHeight="1" x14ac:dyDescent="0.15">
      <c r="A567" s="22" t="s">
        <v>638</v>
      </c>
      <c r="B567" s="105">
        <v>22</v>
      </c>
      <c r="C567" s="105">
        <v>10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thickBot="1" x14ac:dyDescent="0.2">
      <c r="A568" s="22" t="s">
        <v>639</v>
      </c>
      <c r="B568" s="105">
        <v>22</v>
      </c>
      <c r="C568" s="105">
        <v>11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Top="1" thickBot="1" x14ac:dyDescent="0.2">
      <c r="A569" s="130" t="s">
        <v>67</v>
      </c>
      <c r="B569" s="191">
        <v>22</v>
      </c>
      <c r="C569" s="191">
        <v>12</v>
      </c>
      <c r="D569" s="197" t="s">
        <v>433</v>
      </c>
      <c r="E569" s="191"/>
      <c r="F569" s="193">
        <f>SUM(F566:F568)</f>
        <v>0</v>
      </c>
      <c r="G569" s="193">
        <f t="shared" ref="G569:L569" si="45">SUM(G566:G568)</f>
        <v>0</v>
      </c>
      <c r="H569" s="193">
        <f t="shared" si="45"/>
        <v>0</v>
      </c>
      <c r="I569" s="193">
        <f t="shared" si="45"/>
        <v>0</v>
      </c>
      <c r="J569" s="193">
        <f t="shared" si="45"/>
        <v>0</v>
      </c>
      <c r="K569" s="193">
        <f t="shared" si="45"/>
        <v>0</v>
      </c>
      <c r="L569" s="193">
        <f t="shared" si="45"/>
        <v>0</v>
      </c>
      <c r="M569" s="8"/>
      <c r="N569" s="272"/>
    </row>
    <row r="570" spans="1:14" s="3" customFormat="1" ht="12" customHeight="1" thickTop="1" x14ac:dyDescent="0.15">
      <c r="A570" s="98" t="s">
        <v>88</v>
      </c>
      <c r="B570" s="107">
        <v>22</v>
      </c>
      <c r="C570" s="107">
        <v>13</v>
      </c>
      <c r="D570" s="158" t="s">
        <v>433</v>
      </c>
      <c r="E570" s="107"/>
      <c r="F570" s="89">
        <f>F559+F564+F569</f>
        <v>39750</v>
      </c>
      <c r="G570" s="89">
        <f t="shared" ref="G570:L570" si="46">G559+G564+G569</f>
        <v>26288.129999999997</v>
      </c>
      <c r="H570" s="89">
        <f t="shared" si="46"/>
        <v>562.97</v>
      </c>
      <c r="I570" s="89">
        <f t="shared" si="46"/>
        <v>0</v>
      </c>
      <c r="J570" s="89">
        <f t="shared" si="46"/>
        <v>0</v>
      </c>
      <c r="K570" s="89">
        <f t="shared" si="46"/>
        <v>0</v>
      </c>
      <c r="L570" s="89">
        <f t="shared" si="46"/>
        <v>66601.100000000006</v>
      </c>
      <c r="M570" s="8"/>
      <c r="N570" s="272"/>
    </row>
    <row r="571" spans="1:14" s="3" customFormat="1" ht="12" customHeight="1" x14ac:dyDescent="0.15">
      <c r="A571" s="97"/>
      <c r="B571" s="75"/>
      <c r="C571" s="75"/>
      <c r="D571" s="75"/>
      <c r="E571" s="75"/>
      <c r="F571" s="87"/>
      <c r="G571" s="87"/>
      <c r="H571" s="87"/>
      <c r="I571" s="87"/>
      <c r="J571" s="87"/>
      <c r="K571" s="87"/>
      <c r="L571" s="87"/>
      <c r="M571" s="8"/>
      <c r="N571" s="272"/>
    </row>
    <row r="572" spans="1:14" s="3" customFormat="1" ht="12" customHeight="1" x14ac:dyDescent="0.15">
      <c r="A572" s="97" t="s">
        <v>775</v>
      </c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89</v>
      </c>
      <c r="B573" s="75"/>
      <c r="C573" s="75"/>
      <c r="D573" s="75"/>
      <c r="E573" s="75" t="s">
        <v>95</v>
      </c>
      <c r="F573" s="101" t="s">
        <v>90</v>
      </c>
      <c r="G573" s="101" t="s">
        <v>91</v>
      </c>
      <c r="H573" s="101" t="s">
        <v>92</v>
      </c>
      <c r="I573" s="101" t="s">
        <v>93</v>
      </c>
      <c r="J573" s="24" t="s">
        <v>289</v>
      </c>
      <c r="K573" s="24" t="s">
        <v>289</v>
      </c>
      <c r="L573" s="24" t="s">
        <v>289</v>
      </c>
      <c r="M573" s="8"/>
      <c r="N573" s="272"/>
    </row>
    <row r="574" spans="1:14" s="3" customFormat="1" ht="12" customHeight="1" x14ac:dyDescent="0.15">
      <c r="A574" s="99" t="s">
        <v>673</v>
      </c>
      <c r="B574" s="75">
        <v>22</v>
      </c>
      <c r="C574" s="75">
        <v>14</v>
      </c>
      <c r="D574" s="2" t="s">
        <v>433</v>
      </c>
      <c r="E574" s="75">
        <v>561</v>
      </c>
      <c r="F574" s="18"/>
      <c r="G574" s="18"/>
      <c r="H574" s="18" t="s">
        <v>287</v>
      </c>
      <c r="I574" s="87">
        <f>SUM(F574:H574)</f>
        <v>0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674</v>
      </c>
      <c r="B575" s="75">
        <v>22</v>
      </c>
      <c r="C575" s="75">
        <v>15</v>
      </c>
      <c r="D575" s="2" t="s">
        <v>433</v>
      </c>
      <c r="E575" s="75">
        <v>562</v>
      </c>
      <c r="F575" s="18"/>
      <c r="G575" s="18"/>
      <c r="H575" s="18"/>
      <c r="I575" s="87">
        <f t="shared" ref="I575:I586" si="47">SUM(F575:H575)</f>
        <v>0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744</v>
      </c>
      <c r="B576" s="75">
        <v>22</v>
      </c>
      <c r="C576" s="75">
        <v>16</v>
      </c>
      <c r="D576" s="2" t="s">
        <v>433</v>
      </c>
      <c r="E576" s="75">
        <v>563</v>
      </c>
      <c r="F576" s="24" t="s">
        <v>289</v>
      </c>
      <c r="G576" s="24" t="s">
        <v>289</v>
      </c>
      <c r="H576" s="18"/>
      <c r="I576" s="87">
        <f t="shared" si="47"/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678</v>
      </c>
      <c r="B577" s="75">
        <v>22</v>
      </c>
      <c r="C577" s="75">
        <v>17</v>
      </c>
      <c r="D577" s="2" t="s">
        <v>433</v>
      </c>
      <c r="E577" s="75">
        <v>564</v>
      </c>
      <c r="F577" s="18"/>
      <c r="G577" s="18"/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675</v>
      </c>
      <c r="B578" s="75">
        <v>22</v>
      </c>
      <c r="C578" s="75">
        <v>18</v>
      </c>
      <c r="D578" s="2" t="s">
        <v>433</v>
      </c>
      <c r="E578" s="75">
        <v>561</v>
      </c>
      <c r="F578" s="18">
        <v>10808.11</v>
      </c>
      <c r="G578" s="18"/>
      <c r="H578" s="18">
        <v>42083.37</v>
      </c>
      <c r="I578" s="87">
        <f t="shared" si="47"/>
        <v>52891.48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676</v>
      </c>
      <c r="B579" s="75">
        <v>22</v>
      </c>
      <c r="C579" s="75">
        <v>19</v>
      </c>
      <c r="D579" s="2" t="s">
        <v>433</v>
      </c>
      <c r="E579" s="75">
        <v>562</v>
      </c>
      <c r="F579" s="18"/>
      <c r="G579" s="18"/>
      <c r="H579" s="18"/>
      <c r="I579" s="87">
        <f t="shared" si="47"/>
        <v>0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146" t="s">
        <v>745</v>
      </c>
      <c r="B580" s="75">
        <v>22</v>
      </c>
      <c r="C580" s="75">
        <v>20</v>
      </c>
      <c r="D580" s="2" t="s">
        <v>433</v>
      </c>
      <c r="E580" s="75">
        <v>563</v>
      </c>
      <c r="F580" s="24" t="s">
        <v>289</v>
      </c>
      <c r="G580" s="24" t="s">
        <v>289</v>
      </c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677</v>
      </c>
      <c r="B581" s="75">
        <v>22</v>
      </c>
      <c r="C581" s="75">
        <v>21</v>
      </c>
      <c r="D581" s="2" t="s">
        <v>433</v>
      </c>
      <c r="E581" s="75">
        <v>564</v>
      </c>
      <c r="F581" s="18">
        <v>41476.14</v>
      </c>
      <c r="G581" s="18"/>
      <c r="H581" s="18">
        <v>92087.32</v>
      </c>
      <c r="I581" s="87">
        <f t="shared" si="47"/>
        <v>133563.46000000002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640</v>
      </c>
      <c r="B582" s="75">
        <v>22</v>
      </c>
      <c r="C582" s="75">
        <v>22</v>
      </c>
      <c r="D582" s="2" t="s">
        <v>433</v>
      </c>
      <c r="E582" s="75">
        <v>569</v>
      </c>
      <c r="F582" s="18">
        <v>51050.720000000001</v>
      </c>
      <c r="G582" s="18"/>
      <c r="H582" s="18">
        <v>15066.95</v>
      </c>
      <c r="I582" s="87">
        <f t="shared" si="47"/>
        <v>66117.67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22" t="s">
        <v>679</v>
      </c>
      <c r="B583" s="75">
        <v>22</v>
      </c>
      <c r="C583" s="75">
        <v>23</v>
      </c>
      <c r="D583" s="2" t="s">
        <v>433</v>
      </c>
      <c r="E583" s="75">
        <v>561</v>
      </c>
      <c r="F583" s="18"/>
      <c r="G583" s="18"/>
      <c r="H583" s="18">
        <v>29125.79</v>
      </c>
      <c r="I583" s="87">
        <f t="shared" si="47"/>
        <v>29125.79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680</v>
      </c>
      <c r="B584" s="75">
        <v>22</v>
      </c>
      <c r="C584" s="75">
        <v>24</v>
      </c>
      <c r="D584" s="2" t="s">
        <v>433</v>
      </c>
      <c r="E584" s="75">
        <v>562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746</v>
      </c>
      <c r="B585" s="75">
        <v>22</v>
      </c>
      <c r="C585" s="75">
        <v>25</v>
      </c>
      <c r="D585" s="2" t="s">
        <v>433</v>
      </c>
      <c r="E585" s="75">
        <v>563</v>
      </c>
      <c r="F585" s="24" t="s">
        <v>289</v>
      </c>
      <c r="G585" s="24" t="s">
        <v>289</v>
      </c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681</v>
      </c>
      <c r="B586" s="75">
        <v>22</v>
      </c>
      <c r="C586" s="75">
        <v>26</v>
      </c>
      <c r="D586" s="2" t="s">
        <v>433</v>
      </c>
      <c r="E586" s="75">
        <v>564</v>
      </c>
      <c r="F586" s="18"/>
      <c r="G586" s="18"/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173" t="s">
        <v>747</v>
      </c>
      <c r="B587" s="105"/>
      <c r="C587" s="105"/>
      <c r="D587" s="105"/>
      <c r="E587" s="105"/>
      <c r="F587" s="103"/>
      <c r="G587" s="103"/>
      <c r="H587" s="103"/>
      <c r="I587" s="103"/>
      <c r="J587" s="103"/>
      <c r="K587" s="103"/>
      <c r="L587" s="103"/>
      <c r="M587" s="8"/>
      <c r="N587" s="272"/>
    </row>
    <row r="588" spans="1:14" s="3" customFormat="1" ht="12" customHeight="1" x14ac:dyDescent="0.15">
      <c r="A588" s="147" t="s">
        <v>658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96" t="s">
        <v>89</v>
      </c>
      <c r="B589" s="105"/>
      <c r="C589" s="105"/>
      <c r="D589" s="105"/>
      <c r="E589" s="105"/>
      <c r="F589" s="103" t="s">
        <v>94</v>
      </c>
      <c r="G589" s="103" t="s">
        <v>95</v>
      </c>
      <c r="H589" s="103" t="s">
        <v>61</v>
      </c>
      <c r="I589" s="103" t="s">
        <v>96</v>
      </c>
      <c r="J589" s="103" t="s">
        <v>62</v>
      </c>
      <c r="K589" s="103" t="s">
        <v>5</v>
      </c>
      <c r="L589" s="103"/>
      <c r="M589" s="8"/>
      <c r="N589" s="272"/>
    </row>
    <row r="590" spans="1:14" s="3" customFormat="1" ht="12" customHeight="1" x14ac:dyDescent="0.15">
      <c r="A590" s="3" t="s">
        <v>641</v>
      </c>
      <c r="B590" s="75">
        <v>23</v>
      </c>
      <c r="C590" s="75">
        <v>1</v>
      </c>
      <c r="D590" s="2" t="s">
        <v>433</v>
      </c>
      <c r="E590" s="75"/>
      <c r="F590" s="102">
        <v>2721</v>
      </c>
      <c r="G590" s="103" t="s">
        <v>97</v>
      </c>
      <c r="H590" s="18">
        <v>481398.53</v>
      </c>
      <c r="I590" s="18"/>
      <c r="J590" s="18">
        <v>247418.47</v>
      </c>
      <c r="K590" s="104">
        <f t="shared" ref="K590:K596" si="48">SUM(H590:J590)</f>
        <v>728817</v>
      </c>
      <c r="L590" s="24" t="s">
        <v>289</v>
      </c>
      <c r="M590" s="8"/>
      <c r="N590" s="272"/>
    </row>
    <row r="591" spans="1:14" s="3" customFormat="1" ht="12" customHeight="1" x14ac:dyDescent="0.15">
      <c r="A591" s="3" t="s">
        <v>642</v>
      </c>
      <c r="B591" s="75">
        <v>23</v>
      </c>
      <c r="C591" s="75">
        <v>2</v>
      </c>
      <c r="D591" s="2" t="s">
        <v>433</v>
      </c>
      <c r="E591" s="75"/>
      <c r="F591" s="102">
        <v>2722</v>
      </c>
      <c r="G591" s="103" t="s">
        <v>97</v>
      </c>
      <c r="H591" s="18">
        <v>96925.440000000002</v>
      </c>
      <c r="I591" s="18"/>
      <c r="J591" s="18">
        <v>47739.41</v>
      </c>
      <c r="K591" s="104">
        <f t="shared" si="48"/>
        <v>144664.85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643</v>
      </c>
      <c r="B592" s="75">
        <v>23</v>
      </c>
      <c r="C592" s="75">
        <v>3</v>
      </c>
      <c r="D592" s="2" t="s">
        <v>433</v>
      </c>
      <c r="E592" s="75"/>
      <c r="F592" s="102">
        <v>2723</v>
      </c>
      <c r="G592" s="103" t="s">
        <v>97</v>
      </c>
      <c r="H592" s="18"/>
      <c r="I592" s="18"/>
      <c r="J592" s="18">
        <v>34704</v>
      </c>
      <c r="K592" s="104">
        <f t="shared" si="48"/>
        <v>34704</v>
      </c>
      <c r="L592" s="24" t="s">
        <v>289</v>
      </c>
      <c r="M592" s="8"/>
      <c r="N592" s="272"/>
    </row>
    <row r="593" spans="1:14" s="3" customFormat="1" ht="12" customHeight="1" x14ac:dyDescent="0.15">
      <c r="A593" s="22" t="s">
        <v>644</v>
      </c>
      <c r="B593" s="75">
        <v>23</v>
      </c>
      <c r="C593" s="75">
        <v>4</v>
      </c>
      <c r="D593" s="2" t="s">
        <v>433</v>
      </c>
      <c r="E593" s="75"/>
      <c r="F593" s="102">
        <v>2724</v>
      </c>
      <c r="G593" s="103" t="s">
        <v>97</v>
      </c>
      <c r="H593" s="18">
        <v>22699.55</v>
      </c>
      <c r="I593" s="18"/>
      <c r="J593" s="18">
        <v>76307.06</v>
      </c>
      <c r="K593" s="104">
        <f t="shared" si="48"/>
        <v>99006.61</v>
      </c>
      <c r="L593" s="24" t="s">
        <v>289</v>
      </c>
      <c r="M593" s="8"/>
      <c r="N593" s="272"/>
    </row>
    <row r="594" spans="1:14" s="3" customFormat="1" ht="12" customHeight="1" x14ac:dyDescent="0.15">
      <c r="A594" s="171" t="s">
        <v>656</v>
      </c>
      <c r="B594" s="75">
        <v>23</v>
      </c>
      <c r="C594" s="75">
        <v>5</v>
      </c>
      <c r="D594" s="2" t="s">
        <v>433</v>
      </c>
      <c r="E594" s="75"/>
      <c r="F594" s="102">
        <v>2725</v>
      </c>
      <c r="G594" s="103" t="s">
        <v>97</v>
      </c>
      <c r="H594" s="18">
        <v>15462.14</v>
      </c>
      <c r="I594" s="18"/>
      <c r="J594" s="18">
        <v>14309.73</v>
      </c>
      <c r="K594" s="104">
        <f t="shared" si="48"/>
        <v>29771.87</v>
      </c>
      <c r="L594" s="24" t="s">
        <v>289</v>
      </c>
      <c r="M594" s="8"/>
      <c r="N594" s="272"/>
    </row>
    <row r="595" spans="1:14" s="3" customFormat="1" ht="12" customHeight="1" x14ac:dyDescent="0.15">
      <c r="A595" s="22" t="s">
        <v>645</v>
      </c>
      <c r="B595" s="75">
        <v>23</v>
      </c>
      <c r="C595" s="75">
        <v>6</v>
      </c>
      <c r="D595" s="2" t="s">
        <v>433</v>
      </c>
      <c r="E595" s="75"/>
      <c r="F595" s="102">
        <v>2726</v>
      </c>
      <c r="G595" s="103" t="s">
        <v>97</v>
      </c>
      <c r="H595" s="18"/>
      <c r="I595" s="18"/>
      <c r="J595" s="18"/>
      <c r="K595" s="104">
        <f t="shared" si="48"/>
        <v>0</v>
      </c>
      <c r="L595" s="24" t="s">
        <v>289</v>
      </c>
      <c r="M595" s="8"/>
      <c r="N595" s="272"/>
    </row>
    <row r="596" spans="1:14" s="3" customFormat="1" ht="12" customHeight="1" thickBot="1" x14ac:dyDescent="0.2">
      <c r="A596" s="3" t="s">
        <v>659</v>
      </c>
      <c r="B596" s="75">
        <v>23</v>
      </c>
      <c r="C596" s="75">
        <v>7</v>
      </c>
      <c r="D596" s="2" t="s">
        <v>433</v>
      </c>
      <c r="E596" s="75"/>
      <c r="F596" s="102">
        <v>2729</v>
      </c>
      <c r="G596" s="103" t="s">
        <v>97</v>
      </c>
      <c r="H596" s="18">
        <v>825.13</v>
      </c>
      <c r="I596" s="18"/>
      <c r="J596" s="18">
        <v>406.41</v>
      </c>
      <c r="K596" s="104">
        <f t="shared" si="48"/>
        <v>1231.54</v>
      </c>
      <c r="L596" s="24" t="s">
        <v>289</v>
      </c>
      <c r="M596" s="8"/>
      <c r="N596" s="272"/>
    </row>
    <row r="597" spans="1:14" s="3" customFormat="1" ht="12" customHeight="1" thickTop="1" x14ac:dyDescent="0.15">
      <c r="A597" s="98" t="s">
        <v>341</v>
      </c>
      <c r="B597" s="44">
        <v>23</v>
      </c>
      <c r="C597" s="44">
        <v>8</v>
      </c>
      <c r="D597" s="39" t="s">
        <v>433</v>
      </c>
      <c r="E597" s="44"/>
      <c r="F597" s="148">
        <v>2700</v>
      </c>
      <c r="G597" s="149" t="s">
        <v>97</v>
      </c>
      <c r="H597" s="108">
        <f>SUM(H590:H596)</f>
        <v>617310.79</v>
      </c>
      <c r="I597" s="108">
        <f>SUM(I590:I596)</f>
        <v>0</v>
      </c>
      <c r="J597" s="108">
        <f>SUM(J590:J596)</f>
        <v>420885.07999999996</v>
      </c>
      <c r="K597" s="108">
        <f>SUM(K590:K596)</f>
        <v>1038195.87</v>
      </c>
      <c r="L597" s="24" t="s">
        <v>289</v>
      </c>
      <c r="M597" s="8"/>
      <c r="N597" s="272"/>
    </row>
    <row r="598" spans="1:14" s="3" customFormat="1" ht="12" customHeight="1" x14ac:dyDescent="0.15">
      <c r="A598" s="22"/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103"/>
      <c r="M598" s="8"/>
      <c r="N598" s="272"/>
    </row>
    <row r="599" spans="1:14" s="3" customFormat="1" ht="12" customHeight="1" x14ac:dyDescent="0.15">
      <c r="A599" s="96" t="s">
        <v>98</v>
      </c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94</v>
      </c>
      <c r="G600" s="103" t="s">
        <v>95</v>
      </c>
      <c r="H600" s="103" t="s">
        <v>61</v>
      </c>
      <c r="I600" s="103" t="s">
        <v>96</v>
      </c>
      <c r="J600" s="103" t="s">
        <v>62</v>
      </c>
      <c r="K600" s="103" t="s">
        <v>5</v>
      </c>
      <c r="L600" s="103"/>
      <c r="M600" s="8"/>
      <c r="N600" s="272"/>
    </row>
    <row r="601" spans="1:14" s="3" customFormat="1" ht="12" customHeight="1" x14ac:dyDescent="0.15">
      <c r="A601" s="22" t="s">
        <v>646</v>
      </c>
      <c r="B601" s="105">
        <v>23</v>
      </c>
      <c r="C601" s="105">
        <v>9</v>
      </c>
      <c r="D601" s="2" t="s">
        <v>433</v>
      </c>
      <c r="E601" s="105"/>
      <c r="F601" s="103" t="s">
        <v>477</v>
      </c>
      <c r="G601" s="102">
        <v>710</v>
      </c>
      <c r="H601" s="18"/>
      <c r="I601" s="18"/>
      <c r="J601" s="18"/>
      <c r="K601" s="104">
        <f>SUM(H601:J601)</f>
        <v>0</v>
      </c>
      <c r="L601" s="24" t="s">
        <v>289</v>
      </c>
      <c r="M601" s="8"/>
      <c r="N601" s="272"/>
    </row>
    <row r="602" spans="1:14" s="3" customFormat="1" ht="12" customHeight="1" x14ac:dyDescent="0.15">
      <c r="A602" s="22" t="s">
        <v>647</v>
      </c>
      <c r="B602" s="105">
        <v>23</v>
      </c>
      <c r="C602" s="105">
        <v>10</v>
      </c>
      <c r="D602" s="2" t="s">
        <v>433</v>
      </c>
      <c r="E602" s="105"/>
      <c r="F602" s="103" t="s">
        <v>477</v>
      </c>
      <c r="G602" s="102">
        <v>720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thickBot="1" x14ac:dyDescent="0.2">
      <c r="A603" s="22" t="s">
        <v>648</v>
      </c>
      <c r="B603" s="105">
        <v>23</v>
      </c>
      <c r="C603" s="105">
        <v>11</v>
      </c>
      <c r="D603" s="2" t="s">
        <v>433</v>
      </c>
      <c r="E603" s="105"/>
      <c r="F603" s="103" t="s">
        <v>477</v>
      </c>
      <c r="G603" s="102">
        <v>730</v>
      </c>
      <c r="H603" s="18">
        <v>168534.14</v>
      </c>
      <c r="I603" s="18"/>
      <c r="J603" s="18">
        <v>199372.11</v>
      </c>
      <c r="K603" s="104">
        <f>SUM(H603:J603)</f>
        <v>367906.25</v>
      </c>
      <c r="L603" s="24" t="s">
        <v>289</v>
      </c>
      <c r="M603" s="8"/>
      <c r="N603" s="272"/>
    </row>
    <row r="604" spans="1:14" s="3" customFormat="1" ht="12" customHeight="1" thickTop="1" x14ac:dyDescent="0.15">
      <c r="A604" s="98" t="s">
        <v>341</v>
      </c>
      <c r="B604" s="44">
        <v>23</v>
      </c>
      <c r="C604" s="44">
        <v>12</v>
      </c>
      <c r="D604" s="39" t="s">
        <v>433</v>
      </c>
      <c r="E604" s="44"/>
      <c r="F604" s="149" t="s">
        <v>477</v>
      </c>
      <c r="G604" s="148">
        <v>700</v>
      </c>
      <c r="H604" s="108">
        <f>SUM(H601:H603)</f>
        <v>168534.14</v>
      </c>
      <c r="I604" s="108">
        <f>SUM(I601:I603)</f>
        <v>0</v>
      </c>
      <c r="J604" s="108">
        <f>SUM(J601:J603)</f>
        <v>199372.11</v>
      </c>
      <c r="K604" s="108">
        <f>SUM(K601:K603)</f>
        <v>367906.25</v>
      </c>
      <c r="L604" s="24" t="s">
        <v>289</v>
      </c>
      <c r="M604" s="8"/>
      <c r="N604" s="272"/>
    </row>
    <row r="605" spans="1:14" s="3" customFormat="1" ht="12" customHeight="1" x14ac:dyDescent="0.15">
      <c r="A605" s="22"/>
      <c r="B605" s="105"/>
      <c r="C605" s="105"/>
      <c r="D605" s="105"/>
      <c r="E605" s="105"/>
      <c r="F605" s="103"/>
      <c r="G605" s="103"/>
      <c r="H605" s="103"/>
      <c r="I605" s="103"/>
      <c r="J605" s="103"/>
      <c r="K605" s="103"/>
      <c r="L605" s="88"/>
      <c r="M605" s="8"/>
      <c r="N605" s="272"/>
    </row>
    <row r="606" spans="1:14" s="3" customFormat="1" ht="12" customHeight="1" x14ac:dyDescent="0.15">
      <c r="A606" s="96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 t="s">
        <v>584</v>
      </c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B608" s="105"/>
      <c r="C608" s="105"/>
      <c r="D608" s="105"/>
      <c r="E608" s="105"/>
      <c r="F608" s="177" t="s">
        <v>693</v>
      </c>
      <c r="G608" s="177" t="s">
        <v>694</v>
      </c>
      <c r="H608" s="177" t="s">
        <v>695</v>
      </c>
      <c r="I608" s="177" t="s">
        <v>696</v>
      </c>
      <c r="J608" s="177" t="s">
        <v>697</v>
      </c>
      <c r="K608" s="177" t="s">
        <v>698</v>
      </c>
      <c r="L608" s="88"/>
      <c r="M608" s="8"/>
      <c r="N608" s="272"/>
    </row>
    <row r="609" spans="1:14" s="3" customFormat="1" ht="12" customHeight="1" x14ac:dyDescent="0.15">
      <c r="A609" s="96" t="s">
        <v>89</v>
      </c>
      <c r="B609" s="105"/>
      <c r="C609" s="105"/>
      <c r="D609" s="105"/>
      <c r="E609" s="105"/>
      <c r="F609" s="103" t="s">
        <v>54</v>
      </c>
      <c r="G609" s="103" t="s">
        <v>55</v>
      </c>
      <c r="H609" s="103" t="s">
        <v>56</v>
      </c>
      <c r="I609" s="103" t="s">
        <v>57</v>
      </c>
      <c r="J609" s="103" t="s">
        <v>58</v>
      </c>
      <c r="K609" s="103" t="s">
        <v>59</v>
      </c>
      <c r="L609" s="106" t="s">
        <v>5</v>
      </c>
      <c r="M609" s="8"/>
      <c r="N609" s="272"/>
    </row>
    <row r="610" spans="1:14" s="3" customFormat="1" ht="12" customHeight="1" x14ac:dyDescent="0.15">
      <c r="A610" s="22" t="s">
        <v>637</v>
      </c>
      <c r="B610" s="75">
        <v>23</v>
      </c>
      <c r="C610" s="75">
        <v>13</v>
      </c>
      <c r="D610" s="2" t="s">
        <v>433</v>
      </c>
      <c r="E610" s="75"/>
      <c r="F610" s="18">
        <v>6309.38</v>
      </c>
      <c r="G610" s="18">
        <v>981.26</v>
      </c>
      <c r="H610" s="18"/>
      <c r="I610" s="18"/>
      <c r="J610" s="18"/>
      <c r="K610" s="18"/>
      <c r="L610" s="88">
        <f>SUM(F610:K610)</f>
        <v>7290.64</v>
      </c>
      <c r="M610" s="8"/>
      <c r="N610" s="272"/>
    </row>
    <row r="611" spans="1:14" s="3" customFormat="1" ht="12" customHeight="1" x14ac:dyDescent="0.15">
      <c r="A611" s="22" t="s">
        <v>638</v>
      </c>
      <c r="B611" s="75">
        <v>23</v>
      </c>
      <c r="C611" s="75">
        <v>14</v>
      </c>
      <c r="D611" s="2" t="s">
        <v>433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2"/>
    </row>
    <row r="612" spans="1:14" s="3" customFormat="1" ht="12" customHeight="1" thickBot="1" x14ac:dyDescent="0.2">
      <c r="A612" s="22" t="s">
        <v>649</v>
      </c>
      <c r="B612" s="75">
        <v>23</v>
      </c>
      <c r="C612" s="75">
        <v>15</v>
      </c>
      <c r="D612" s="2" t="s">
        <v>433</v>
      </c>
      <c r="E612" s="75"/>
      <c r="F612" s="18">
        <v>6915.62</v>
      </c>
      <c r="G612" s="18">
        <v>1303.1199999999999</v>
      </c>
      <c r="H612" s="18"/>
      <c r="I612" s="18"/>
      <c r="J612" s="18"/>
      <c r="K612" s="18"/>
      <c r="L612" s="88">
        <f>SUM(F612:K612)</f>
        <v>8218.74</v>
      </c>
      <c r="M612" s="8"/>
      <c r="N612" s="272"/>
    </row>
    <row r="613" spans="1:14" s="3" customFormat="1" ht="12" customHeight="1" thickTop="1" x14ac:dyDescent="0.15">
      <c r="A613" s="98" t="s">
        <v>341</v>
      </c>
      <c r="B613" s="107">
        <v>23</v>
      </c>
      <c r="C613" s="107">
        <v>16</v>
      </c>
      <c r="D613" s="39" t="s">
        <v>433</v>
      </c>
      <c r="E613" s="107"/>
      <c r="F613" s="108">
        <f t="shared" ref="F613:L613" si="49">SUM(F610:F612)</f>
        <v>13225</v>
      </c>
      <c r="G613" s="108">
        <f t="shared" si="49"/>
        <v>2284.38</v>
      </c>
      <c r="H613" s="108">
        <f t="shared" si="49"/>
        <v>0</v>
      </c>
      <c r="I613" s="108">
        <f t="shared" si="49"/>
        <v>0</v>
      </c>
      <c r="J613" s="108">
        <f t="shared" si="49"/>
        <v>0</v>
      </c>
      <c r="K613" s="108">
        <f t="shared" si="49"/>
        <v>0</v>
      </c>
      <c r="L613" s="89">
        <f t="shared" si="49"/>
        <v>15509.380000000001</v>
      </c>
      <c r="M613" s="8"/>
      <c r="N613" s="272"/>
    </row>
    <row r="614" spans="1:14" s="3" customFormat="1" ht="12" customHeight="1" x14ac:dyDescent="0.15">
      <c r="A614" s="97"/>
      <c r="B614" s="105"/>
      <c r="C614" s="105"/>
      <c r="D614" s="105"/>
      <c r="E614" s="105"/>
      <c r="F614" s="109"/>
      <c r="G614" s="109"/>
      <c r="H614" s="109"/>
      <c r="I614" s="109"/>
      <c r="J614" s="109"/>
      <c r="K614" s="109"/>
      <c r="L614" s="109"/>
      <c r="M614" s="8"/>
    </row>
    <row r="615" spans="1:14" s="3" customFormat="1" ht="12" customHeight="1" x14ac:dyDescent="0.15">
      <c r="A615" s="97"/>
      <c r="B615" s="105"/>
      <c r="C615" s="105"/>
      <c r="D615" s="105"/>
      <c r="E615" s="105"/>
      <c r="F615" s="150" t="s">
        <v>53</v>
      </c>
      <c r="G615" s="151"/>
      <c r="H615" s="151"/>
      <c r="I615" s="150" t="s">
        <v>53</v>
      </c>
      <c r="J615" s="109"/>
      <c r="K615" s="109"/>
      <c r="L615" s="109"/>
      <c r="M615" s="8"/>
    </row>
    <row r="616" spans="1:14" s="3" customFormat="1" ht="12" customHeight="1" x14ac:dyDescent="0.15">
      <c r="A616" s="97" t="s">
        <v>99</v>
      </c>
      <c r="B616" s="105"/>
      <c r="C616" s="105"/>
      <c r="D616" s="105"/>
      <c r="E616" s="105"/>
      <c r="F616" s="121" t="s">
        <v>687</v>
      </c>
      <c r="G616" s="109">
        <f>SUM(F19)</f>
        <v>1631155.1900000002</v>
      </c>
      <c r="H616" s="109">
        <f>SUM(F51)</f>
        <v>1631155.19</v>
      </c>
      <c r="I616" s="121" t="s">
        <v>890</v>
      </c>
      <c r="J616" s="109">
        <f>G616-H616</f>
        <v>0</v>
      </c>
      <c r="K616" s="109"/>
      <c r="L616" s="109"/>
      <c r="M616" s="8"/>
    </row>
    <row r="617" spans="1:14" s="3" customFormat="1" ht="12" customHeight="1" x14ac:dyDescent="0.15">
      <c r="A617" s="97" t="s">
        <v>100</v>
      </c>
      <c r="B617" s="105"/>
      <c r="C617" s="105"/>
      <c r="D617" s="105"/>
      <c r="E617" s="105"/>
      <c r="F617" s="121" t="s">
        <v>688</v>
      </c>
      <c r="G617" s="109">
        <f>SUM(G19)</f>
        <v>17668.57</v>
      </c>
      <c r="H617" s="109">
        <f>SUM(G51)</f>
        <v>17668.57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/>
      <c r="B618" s="105"/>
      <c r="C618" s="105"/>
      <c r="D618" s="105"/>
      <c r="E618" s="105"/>
      <c r="F618" s="121" t="s">
        <v>689</v>
      </c>
      <c r="G618" s="109">
        <f>SUM(H19)</f>
        <v>242580.4</v>
      </c>
      <c r="H618" s="109">
        <f>SUM(H51)</f>
        <v>242580.4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690</v>
      </c>
      <c r="G619" s="109">
        <f>SUM(I19)</f>
        <v>0</v>
      </c>
      <c r="H619" s="109">
        <f>SUM(I51)</f>
        <v>0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691</v>
      </c>
      <c r="G620" s="109">
        <f>SUM(J19)</f>
        <v>1102525.3799999999</v>
      </c>
      <c r="H620" s="109">
        <f>SUM(J51)</f>
        <v>1102525.3799999999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885</v>
      </c>
      <c r="G621" s="109">
        <f>F50</f>
        <v>715968.39999999991</v>
      </c>
      <c r="H621" s="109">
        <f>F475</f>
        <v>715968.40000000224</v>
      </c>
      <c r="I621" s="121" t="s">
        <v>101</v>
      </c>
      <c r="J621" s="109">
        <f t="shared" ref="J621:J654" si="50">G621-H621</f>
        <v>-2.3283064365386963E-9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19"/>
      <c r="D622" s="119"/>
      <c r="E622" s="119"/>
      <c r="F622" s="119" t="s">
        <v>886</v>
      </c>
      <c r="G622" s="109">
        <f>G50</f>
        <v>57428.78</v>
      </c>
      <c r="H622" s="109">
        <f>G475</f>
        <v>57428.780000000028</v>
      </c>
      <c r="I622" s="121" t="s">
        <v>102</v>
      </c>
      <c r="J622" s="109">
        <f t="shared" si="50"/>
        <v>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05"/>
      <c r="D623" s="105"/>
      <c r="E623" s="105"/>
      <c r="F623" s="120" t="s">
        <v>887</v>
      </c>
      <c r="G623" s="109">
        <f>H50</f>
        <v>10757.23</v>
      </c>
      <c r="H623" s="109">
        <f>H475</f>
        <v>10757.230000000098</v>
      </c>
      <c r="I623" s="121" t="s">
        <v>103</v>
      </c>
      <c r="J623" s="109">
        <f t="shared" si="50"/>
        <v>-9.822542779147625E-11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888</v>
      </c>
      <c r="G624" s="109">
        <f>I50</f>
        <v>0</v>
      </c>
      <c r="H624" s="109">
        <f>I475</f>
        <v>0</v>
      </c>
      <c r="I624" s="121" t="s">
        <v>104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889</v>
      </c>
      <c r="G625" s="109">
        <f>J50</f>
        <v>1102525.3799999999</v>
      </c>
      <c r="H625" s="109">
        <f>J475</f>
        <v>1102525.3800000001</v>
      </c>
      <c r="I625" s="140" t="s">
        <v>105</v>
      </c>
      <c r="J625" s="109">
        <f t="shared" si="50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662</v>
      </c>
      <c r="G626" s="109">
        <f>F192</f>
        <v>17909583.780000001</v>
      </c>
      <c r="H626" s="104">
        <f>SUM(F467)</f>
        <v>17909583.780000001</v>
      </c>
      <c r="I626" s="140" t="s">
        <v>106</v>
      </c>
      <c r="J626" s="109">
        <f>G626-H626</f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663</v>
      </c>
      <c r="G627" s="109">
        <f>G192</f>
        <v>520555.77</v>
      </c>
      <c r="H627" s="104">
        <f>SUM(G467)</f>
        <v>520555.77</v>
      </c>
      <c r="I627" s="140" t="s">
        <v>107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664</v>
      </c>
      <c r="G628" s="109">
        <f>H192</f>
        <v>1049635.0799999998</v>
      </c>
      <c r="H628" s="104">
        <f>SUM(H467)</f>
        <v>1049635.08</v>
      </c>
      <c r="I628" s="140" t="s">
        <v>108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665</v>
      </c>
      <c r="G629" s="109">
        <f>I192</f>
        <v>0</v>
      </c>
      <c r="H629" s="104">
        <f>SUM(I467)</f>
        <v>0</v>
      </c>
      <c r="I629" s="140" t="s">
        <v>109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666</v>
      </c>
      <c r="G630" s="109">
        <f>J192</f>
        <v>512894.57999999996</v>
      </c>
      <c r="H630" s="104">
        <f>SUM(J467)</f>
        <v>512894.58</v>
      </c>
      <c r="I630" s="140" t="s">
        <v>110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395</v>
      </c>
      <c r="G631" s="109">
        <f>SUM(L270)</f>
        <v>17781305.399999999</v>
      </c>
      <c r="H631" s="104">
        <f>SUM(F471)</f>
        <v>17781305.399999999</v>
      </c>
      <c r="I631" s="140" t="s">
        <v>111</v>
      </c>
      <c r="J631" s="109">
        <f t="shared" si="50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396</v>
      </c>
      <c r="G632" s="109">
        <f>SUM(L351)</f>
        <v>1046155.3999999999</v>
      </c>
      <c r="H632" s="104">
        <f>SUM(H471)</f>
        <v>1046155.4</v>
      </c>
      <c r="I632" s="140" t="s">
        <v>112</v>
      </c>
      <c r="J632" s="109">
        <f>G632-H632</f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42" t="s">
        <v>247</v>
      </c>
      <c r="G633" s="109">
        <f>I361</f>
        <v>227282.18</v>
      </c>
      <c r="H633" s="104">
        <f>I368</f>
        <v>227282.18</v>
      </c>
      <c r="I633" s="143" t="s">
        <v>248</v>
      </c>
      <c r="J633" s="109">
        <f>G633-H633</f>
        <v>0</v>
      </c>
      <c r="K633" s="85"/>
      <c r="L633" s="88"/>
      <c r="M633" s="8"/>
    </row>
    <row r="634" spans="1:13" s="169" customFormat="1" ht="12" customHeight="1" x14ac:dyDescent="0.15">
      <c r="A634" s="22"/>
      <c r="B634" s="105"/>
      <c r="C634" s="105"/>
      <c r="D634" s="105"/>
      <c r="E634" s="105"/>
      <c r="F634" s="120" t="s">
        <v>113</v>
      </c>
      <c r="G634" s="109">
        <f>SUM(L361)</f>
        <v>544862.05000000005</v>
      </c>
      <c r="H634" s="104">
        <f>SUM(G471)</f>
        <v>544862.05000000005</v>
      </c>
      <c r="I634" s="140" t="s">
        <v>114</v>
      </c>
      <c r="J634" s="109">
        <f t="shared" si="50"/>
        <v>0</v>
      </c>
      <c r="K634" s="85"/>
      <c r="L634" s="88"/>
      <c r="M634" s="16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115</v>
      </c>
      <c r="G635" s="109">
        <f>SUM(L381)</f>
        <v>0</v>
      </c>
      <c r="H635" s="104">
        <f>SUM(I471)</f>
        <v>0</v>
      </c>
      <c r="I635" s="140" t="s">
        <v>116</v>
      </c>
      <c r="J635" s="109">
        <f t="shared" si="50"/>
        <v>0</v>
      </c>
      <c r="K635" s="85"/>
      <c r="L635" s="88"/>
      <c r="M635" s="168"/>
    </row>
    <row r="636" spans="1:13" s="3" customFormat="1" ht="12" customHeight="1" x14ac:dyDescent="0.15">
      <c r="A636" s="161"/>
      <c r="B636" s="162"/>
      <c r="C636" s="162"/>
      <c r="D636" s="162"/>
      <c r="E636" s="162"/>
      <c r="F636" s="163" t="s">
        <v>478</v>
      </c>
      <c r="G636" s="151">
        <f>SUM(L407)</f>
        <v>512894.57999999996</v>
      </c>
      <c r="H636" s="164">
        <f>SUM(J467)</f>
        <v>512894.58</v>
      </c>
      <c r="I636" s="165" t="s">
        <v>110</v>
      </c>
      <c r="J636" s="151">
        <f t="shared" si="50"/>
        <v>0</v>
      </c>
      <c r="K636" s="166"/>
      <c r="L636" s="167"/>
      <c r="M636" s="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479</v>
      </c>
      <c r="G637" s="151">
        <f>SUM(L433)</f>
        <v>393777.22</v>
      </c>
      <c r="H637" s="164">
        <f>SUM(J471)</f>
        <v>393777.22</v>
      </c>
      <c r="I637" s="165" t="s">
        <v>117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118</v>
      </c>
      <c r="G638" s="109">
        <f>SUM(F445)</f>
        <v>208200.52</v>
      </c>
      <c r="H638" s="104">
        <f>SUM(F460)</f>
        <v>208200.52</v>
      </c>
      <c r="I638" s="140" t="s">
        <v>857</v>
      </c>
      <c r="J638" s="109">
        <f t="shared" si="50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119</v>
      </c>
      <c r="G639" s="109">
        <f>SUM(G445)</f>
        <v>894324.86</v>
      </c>
      <c r="H639" s="104">
        <f>SUM(G460)</f>
        <v>894324.86</v>
      </c>
      <c r="I639" s="140" t="s">
        <v>858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120</v>
      </c>
      <c r="G640" s="109">
        <f>SUM(H445)</f>
        <v>0</v>
      </c>
      <c r="H640" s="104">
        <f>SUM(H460)</f>
        <v>0</v>
      </c>
      <c r="I640" s="140" t="s">
        <v>859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121</v>
      </c>
      <c r="G641" s="109">
        <f>SUM(I445)</f>
        <v>1102525.3799999999</v>
      </c>
      <c r="H641" s="104">
        <f>SUM(I460)</f>
        <v>1102525.3799999999</v>
      </c>
      <c r="I641" s="140" t="s">
        <v>860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249</v>
      </c>
      <c r="G642" s="109">
        <f>J56</f>
        <v>0</v>
      </c>
      <c r="H642" s="104">
        <f>F407</f>
        <v>0</v>
      </c>
      <c r="I642" s="140" t="s">
        <v>480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667</v>
      </c>
      <c r="G643" s="109">
        <f>J95</f>
        <v>10039.56</v>
      </c>
      <c r="H643" s="104">
        <f>H407</f>
        <v>10039.560000000001</v>
      </c>
      <c r="I643" s="140" t="s">
        <v>481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668</v>
      </c>
      <c r="G644" s="109">
        <f>J182</f>
        <v>501328.04</v>
      </c>
      <c r="H644" s="104">
        <f>G407</f>
        <v>501328.04</v>
      </c>
      <c r="I644" s="140" t="s">
        <v>482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666</v>
      </c>
      <c r="G645" s="109">
        <f>J192</f>
        <v>512894.57999999996</v>
      </c>
      <c r="H645" s="104">
        <f>L407</f>
        <v>512894.57999999996</v>
      </c>
      <c r="I645" s="140" t="s">
        <v>478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51</v>
      </c>
      <c r="G646" s="109">
        <f>K597</f>
        <v>1038195.87</v>
      </c>
      <c r="H646" s="104">
        <f>L207+L225+L243</f>
        <v>1038195.8700000001</v>
      </c>
      <c r="I646" s="140" t="s">
        <v>397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52</v>
      </c>
      <c r="G647" s="109">
        <f>K604</f>
        <v>367906.25</v>
      </c>
      <c r="H647" s="104">
        <f>(J256+J337)-(J254+J335)</f>
        <v>367906.25</v>
      </c>
      <c r="I647" s="140" t="s">
        <v>703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388</v>
      </c>
      <c r="G648" s="109">
        <f>L207</f>
        <v>617310.79</v>
      </c>
      <c r="H648" s="104">
        <f>H597</f>
        <v>617310.79</v>
      </c>
      <c r="I648" s="140" t="s">
        <v>389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393</v>
      </c>
      <c r="G649" s="109">
        <f>L225</f>
        <v>0</v>
      </c>
      <c r="H649" s="104">
        <f>I597</f>
        <v>0</v>
      </c>
      <c r="I649" s="140" t="s">
        <v>390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394</v>
      </c>
      <c r="G650" s="109">
        <f>L243</f>
        <v>420885.08</v>
      </c>
      <c r="H650" s="104">
        <f>J597</f>
        <v>420885.07999999996</v>
      </c>
      <c r="I650" s="140" t="s">
        <v>391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669</v>
      </c>
      <c r="G651" s="109">
        <f>G178</f>
        <v>4306</v>
      </c>
      <c r="H651" s="104">
        <f>K262+K344</f>
        <v>4306</v>
      </c>
      <c r="I651" s="140" t="s">
        <v>398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670</v>
      </c>
      <c r="G652" s="109">
        <f>H178</f>
        <v>0</v>
      </c>
      <c r="H652" s="104">
        <f>K263</f>
        <v>0</v>
      </c>
      <c r="I652" s="140" t="s">
        <v>399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671</v>
      </c>
      <c r="G653" s="109">
        <f>I178</f>
        <v>0</v>
      </c>
      <c r="H653" s="104">
        <f>K264+K345</f>
        <v>0</v>
      </c>
      <c r="I653" s="140" t="s">
        <v>400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672</v>
      </c>
      <c r="G654" s="109">
        <f>J178+J180</f>
        <v>501328.04</v>
      </c>
      <c r="H654" s="104">
        <f>K265+K346</f>
        <v>501328.04</v>
      </c>
      <c r="I654" s="140" t="s">
        <v>401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127"/>
      <c r="B655" s="127"/>
      <c r="C655" s="127"/>
      <c r="D655" s="127"/>
      <c r="E655" s="127"/>
      <c r="F655" s="26" t="s">
        <v>122</v>
      </c>
      <c r="G655" s="19"/>
      <c r="H655" s="104">
        <f>SUM(G616:G654)-SUM(H616:H654)</f>
        <v>0</v>
      </c>
      <c r="I655" s="19"/>
      <c r="J655" s="19"/>
      <c r="K655" s="13"/>
      <c r="L655" s="13"/>
      <c r="M655" s="9"/>
    </row>
    <row r="656" spans="1:13" s="3" customFormat="1" ht="12" customHeight="1" x14ac:dyDescent="0.15">
      <c r="F656" s="17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123</v>
      </c>
      <c r="F657" s="25" t="s">
        <v>124</v>
      </c>
      <c r="G657" s="25" t="s">
        <v>125</v>
      </c>
      <c r="H657" s="25" t="s">
        <v>368</v>
      </c>
      <c r="I657" s="25" t="s">
        <v>341</v>
      </c>
      <c r="J657" s="13"/>
      <c r="K657" s="13"/>
      <c r="L657" s="13"/>
      <c r="M657" s="9"/>
    </row>
    <row r="658" spans="1:13" s="3" customFormat="1" ht="12" customHeight="1" x14ac:dyDescent="0.15">
      <c r="F658" s="14" t="s">
        <v>287</v>
      </c>
      <c r="G658" s="13"/>
      <c r="H658" s="13"/>
      <c r="I658" s="13"/>
      <c r="J658" s="13"/>
      <c r="K658" s="13"/>
      <c r="L658" s="13"/>
      <c r="M658" s="9"/>
    </row>
    <row r="659" spans="1:13" s="3" customFormat="1" ht="12" customHeight="1" x14ac:dyDescent="0.15">
      <c r="A659" s="1" t="s">
        <v>126</v>
      </c>
      <c r="F659" s="19">
        <f>(L210+L289+L357)</f>
        <v>11656959.32</v>
      </c>
      <c r="G659" s="19">
        <f>(L228+L308+L358)</f>
        <v>0</v>
      </c>
      <c r="H659" s="19">
        <f>(L246+L327+L359)</f>
        <v>6903177.4900000012</v>
      </c>
      <c r="I659" s="19">
        <f>SUM(F659:H659)</f>
        <v>18560136.810000002</v>
      </c>
      <c r="J659" s="13"/>
      <c r="K659" s="13"/>
      <c r="L659" s="13"/>
      <c r="M659" s="9"/>
    </row>
    <row r="660" spans="1:13" s="3" customFormat="1" ht="12" customHeight="1" x14ac:dyDescent="0.2">
      <c r="A660" s="1" t="s">
        <v>127</v>
      </c>
      <c r="F660" s="19">
        <f>(L357/IF(SUM(L357:L359)=0,1,SUM(L357:L359))*(SUM(G96:G109)))</f>
        <v>130746.3245978515</v>
      </c>
      <c r="G660" s="19">
        <f>(L358/IF(SUM(L357:L359)=0,1,SUM(L357:L359))*(SUM(G96:G109)))</f>
        <v>0</v>
      </c>
      <c r="H660" s="19">
        <f>(L359/IF(SUM(L357:L359)=0,1,SUM(L357:L359))*(SUM(G96:G109)))</f>
        <v>57457.495402148474</v>
      </c>
      <c r="I660" s="19">
        <f>SUM(F660:H660)</f>
        <v>188203.81999999998</v>
      </c>
      <c r="J660"/>
      <c r="K660" s="13"/>
      <c r="L660" s="13"/>
      <c r="M660" s="9"/>
    </row>
    <row r="661" spans="1:13" s="3" customFormat="1" ht="12" customHeight="1" x14ac:dyDescent="0.2">
      <c r="A661" s="1" t="s">
        <v>128</v>
      </c>
      <c r="F661" s="19">
        <f>(L207+L286)-(J207+J286)</f>
        <v>617310.79</v>
      </c>
      <c r="G661" s="19">
        <f>(L225+L305)-(J225+J305)</f>
        <v>0</v>
      </c>
      <c r="H661" s="19">
        <f>(L243+L324)-(J243+J324)</f>
        <v>420885.08</v>
      </c>
      <c r="I661" s="19">
        <f>SUM(F661:H661)</f>
        <v>1038195.8700000001</v>
      </c>
      <c r="J661"/>
      <c r="K661" s="13"/>
      <c r="L661" s="13"/>
      <c r="M661" s="8"/>
    </row>
    <row r="662" spans="1:13" s="3" customFormat="1" ht="12" customHeight="1" x14ac:dyDescent="0.15">
      <c r="A662" s="198" t="s">
        <v>129</v>
      </c>
      <c r="B662" s="169"/>
      <c r="C662" s="169"/>
      <c r="D662" s="169"/>
      <c r="E662" s="169"/>
      <c r="F662" s="199">
        <f>SUM(F574:F586)+SUM(H601:H603)+SUM(L610)</f>
        <v>279159.75</v>
      </c>
      <c r="G662" s="199">
        <f>SUM(G574:G586)+SUM(I601:I603)+L611</f>
        <v>0</v>
      </c>
      <c r="H662" s="199">
        <f>SUM(H574:H586)+SUM(J601:J603)+L612</f>
        <v>385954.28</v>
      </c>
      <c r="I662" s="19">
        <f>SUM(F662:H662)</f>
        <v>665114.03</v>
      </c>
      <c r="J662" s="13"/>
      <c r="K662" s="13"/>
      <c r="L662" s="13"/>
      <c r="M662" s="9"/>
    </row>
    <row r="663" spans="1:13" s="3" customFormat="1" ht="12" customHeight="1" x14ac:dyDescent="0.15">
      <c r="A663" s="1" t="s">
        <v>130</v>
      </c>
      <c r="F663" s="19">
        <f>F659-SUM(F660:F662)</f>
        <v>10629742.455402149</v>
      </c>
      <c r="G663" s="19">
        <f>G659-SUM(G660:G662)</f>
        <v>0</v>
      </c>
      <c r="H663" s="19">
        <f>H659-SUM(H660:H662)</f>
        <v>6038880.6345978528</v>
      </c>
      <c r="I663" s="19">
        <f>I659-SUM(I660:I662)</f>
        <v>16668623.090000002</v>
      </c>
      <c r="J663" s="13"/>
      <c r="K663" s="13"/>
      <c r="L663" s="13"/>
      <c r="M663" s="9"/>
    </row>
    <row r="664" spans="1:13" s="3" customFormat="1" ht="12" customHeight="1" x14ac:dyDescent="0.2">
      <c r="A664" s="1" t="s">
        <v>131</v>
      </c>
      <c r="F664" s="247">
        <v>789.69</v>
      </c>
      <c r="G664" s="248"/>
      <c r="H664" s="248">
        <v>389.7</v>
      </c>
      <c r="I664" s="19">
        <f>SUM(F664:H664)</f>
        <v>1179.3900000000001</v>
      </c>
      <c r="J664" s="13"/>
      <c r="K664" s="13"/>
      <c r="L664" s="13"/>
      <c r="M664" s="8"/>
    </row>
    <row r="665" spans="1:13" s="3" customFormat="1" ht="12" customHeight="1" x14ac:dyDescent="0.15">
      <c r="A665" s="1" t="s">
        <v>132</v>
      </c>
      <c r="F665" s="13"/>
      <c r="G665" s="13"/>
      <c r="H665" s="13"/>
      <c r="I665" s="13"/>
      <c r="J665" s="13"/>
      <c r="K665" s="13"/>
      <c r="L665" s="13"/>
      <c r="M665" s="10"/>
    </row>
    <row r="666" spans="1:13" s="3" customFormat="1" ht="12" customHeight="1" x14ac:dyDescent="0.15">
      <c r="A666" s="29" t="s">
        <v>133</v>
      </c>
      <c r="F666" s="19">
        <f>ROUND(F663/F664,2)</f>
        <v>13460.65</v>
      </c>
      <c r="G666" s="19" t="e">
        <f>ROUND(G663/G664,2)</f>
        <v>#DIV/0!</v>
      </c>
      <c r="H666" s="19">
        <f>ROUND(H663/H664,2)</f>
        <v>15496.23</v>
      </c>
      <c r="I666" s="19">
        <f>ROUND(I663/I664,2)</f>
        <v>14133.26</v>
      </c>
      <c r="J666" s="13"/>
      <c r="K666" s="13"/>
      <c r="L666" s="13"/>
      <c r="M666" s="9"/>
    </row>
    <row r="667" spans="1:13" s="3" customFormat="1" ht="12" customHeight="1" x14ac:dyDescent="0.15">
      <c r="F667" s="13"/>
      <c r="G667" s="13"/>
      <c r="H667" s="13"/>
      <c r="I667" s="13"/>
      <c r="J667" s="13"/>
      <c r="K667" s="13"/>
      <c r="L667" s="13"/>
      <c r="M667" s="9"/>
    </row>
    <row r="668" spans="1:13" s="3" customFormat="1" ht="12" customHeight="1" x14ac:dyDescent="0.15">
      <c r="A668" s="1" t="s">
        <v>134</v>
      </c>
      <c r="F668" s="18"/>
      <c r="G668" s="18"/>
      <c r="H668" s="18"/>
      <c r="I668" s="19">
        <f>SUM(F668:H668)</f>
        <v>0</v>
      </c>
      <c r="J668" s="13"/>
      <c r="K668" s="13"/>
      <c r="L668" s="13"/>
      <c r="M668" s="9"/>
    </row>
    <row r="669" spans="1:13" s="3" customFormat="1" ht="12" customHeight="1" x14ac:dyDescent="0.15">
      <c r="A669" s="1" t="s">
        <v>135</v>
      </c>
      <c r="F669" s="18"/>
      <c r="G669" s="18"/>
      <c r="H669" s="18">
        <v>2.0099999999999998</v>
      </c>
      <c r="I669" s="19">
        <f>SUM(F669:H669)</f>
        <v>2.0099999999999998</v>
      </c>
      <c r="J669" s="13"/>
      <c r="K669" s="13"/>
      <c r="L669" s="13"/>
      <c r="M669" s="9"/>
    </row>
    <row r="670" spans="1:13" s="3" customFormat="1" ht="12" customHeight="1" x14ac:dyDescent="0.15">
      <c r="F670" s="13"/>
      <c r="G670" s="13"/>
      <c r="H670" s="13"/>
      <c r="I670" s="13"/>
      <c r="J670" s="13"/>
      <c r="K670" s="13"/>
      <c r="L670" s="13"/>
      <c r="M670" s="9"/>
    </row>
    <row r="671" spans="1:13" s="3" customFormat="1" ht="12" customHeight="1" x14ac:dyDescent="0.15">
      <c r="A671" s="1" t="s">
        <v>136</v>
      </c>
      <c r="B671" s="2" t="s">
        <v>137</v>
      </c>
      <c r="C671" s="2" t="s">
        <v>291</v>
      </c>
      <c r="D671" s="2"/>
      <c r="E671" s="2"/>
      <c r="F671" s="19">
        <f>ROUND((F663+F668)/(F664+F669),2)</f>
        <v>13460.65</v>
      </c>
      <c r="G671" s="19" t="e">
        <f>ROUND((G663+G668)/(G664+G669),2)</f>
        <v>#DIV/0!</v>
      </c>
      <c r="H671" s="19">
        <f>ROUND((H663+H668)/(H664+H669),2)</f>
        <v>15416.71</v>
      </c>
      <c r="I671" s="19">
        <f>ROUND((I663+I668)/(I664+I669),2)</f>
        <v>14109.21</v>
      </c>
      <c r="J671" s="13"/>
      <c r="K671" s="13"/>
      <c r="L671" s="13"/>
    </row>
    <row r="672" spans="1:13" s="3" customFormat="1" ht="12" customHeight="1" x14ac:dyDescent="0.15">
      <c r="C672" s="7"/>
      <c r="D672" s="7"/>
      <c r="E672" s="7"/>
      <c r="F672" s="13"/>
      <c r="G672" s="13"/>
      <c r="H672" s="13"/>
      <c r="I672" s="13"/>
      <c r="J672" s="13"/>
      <c r="K672" s="13"/>
      <c r="L672" s="13"/>
    </row>
    <row r="673" spans="1:12" s="3" customFormat="1" ht="12" customHeight="1" x14ac:dyDescent="0.15">
      <c r="F673" s="13"/>
      <c r="G673" s="13"/>
      <c r="H673" s="13"/>
      <c r="I673" s="13"/>
      <c r="J673" s="13"/>
      <c r="K673" s="13"/>
      <c r="L673" s="13"/>
    </row>
    <row r="674" spans="1:12" ht="12" customHeight="1" x14ac:dyDescent="0.2">
      <c r="A674" s="3"/>
      <c r="B674" s="3"/>
      <c r="C674" s="3"/>
      <c r="D674" s="3"/>
      <c r="E674" s="3"/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</sheetData>
  <sheetProtection password="BB0A" sheet="1" objects="1" scenarios="1"/>
  <dataConsolidate>
    <dataRefs count="18">
      <dataRef ref="F9:L671" sheet="DOE25" r:id="rId1"/>
      <dataRef ref="F9:L671" sheet="DOE25" r:id="rId2"/>
      <dataRef ref="F9:L671" sheet="DOE25" r:id="rId3"/>
      <dataRef ref="F9:L671" sheet="DOE25" r:id="rId4"/>
      <dataRef ref="F9:L671" sheet="DOE25" r:id="rId5"/>
      <dataRef ref="F9:L671" sheet="DOE25" r:id="rId6"/>
      <dataRef ref="F9:L671" sheet="DOE25" r:id="rId7"/>
      <dataRef ref="F9:L671" sheet="DOE25" r:id="rId8"/>
      <dataRef ref="F9:L671" sheet="DOE25" r:id="rId9"/>
      <dataRef ref="F9:L671" sheet="DOE25" r:id="rId10"/>
      <dataRef ref="F9:L671" sheet="DOE25" r:id="rId11"/>
      <dataRef ref="F9:L671" sheet="DOE25" r:id="rId12"/>
      <dataRef ref="F9:L671" sheet="DOE25" r:id="rId13"/>
      <dataRef ref="F9:L671" sheet="DOE25" r:id="rId14"/>
      <dataRef ref="F9:L671" sheet="DOE25" r:id="rId15"/>
      <dataRef ref="F9:L671" sheet="DOE25" r:id="rId16"/>
      <dataRef ref="F9:L671" sheet="DOE25" r:id="rId17"/>
      <dataRef ref="F9:L671" sheet="DOE25" r:id="rId18"/>
    </dataRefs>
  </dataConsolidate>
  <phoneticPr fontId="0" type="noConversion"/>
  <conditionalFormatting sqref="H655 J616:J654">
    <cfRule type="cellIs" dxfId="3" priority="3" stopIfTrue="1" operator="notEqual">
      <formula>0</formula>
    </cfRule>
  </conditionalFormatting>
  <conditionalFormatting sqref="J616:J654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75" header="0.5" footer="0.5"/>
  <pageSetup scale="90" orientation="landscape" r:id="rId19"/>
  <headerFooter alignWithMargins="0">
    <oddHeader xml:space="preserve">&amp;CDOE 25 for 2012-2013
</oddHeader>
    <oddFooter>&amp;L&amp;F&amp;CPage &amp;P&amp;R&amp;D&amp;T</oddFooter>
  </headerFooter>
  <rowBreaks count="24" manualBreakCount="24">
    <brk id="51" max="11" man="1"/>
    <brk id="78" max="11" man="1"/>
    <brk id="111" max="11" man="1"/>
    <brk id="139" max="9" man="1"/>
    <brk id="168" max="9" man="1"/>
    <brk id="192" max="9" man="1"/>
    <brk id="210" max="9" man="1"/>
    <brk id="228" max="9" man="1"/>
    <brk id="246" max="9" man="1"/>
    <brk id="270" max="9" man="1"/>
    <brk id="289" max="9" man="1"/>
    <brk id="308" max="9" man="1"/>
    <brk id="327" max="9" man="1"/>
    <brk id="351" max="11" man="1"/>
    <brk id="381" max="11" man="1"/>
    <brk id="407" max="11" man="1"/>
    <brk id="433" max="11" man="1"/>
    <brk id="460" max="11" man="1"/>
    <brk id="484" max="11" man="1"/>
    <brk id="516" max="9" man="1"/>
    <brk id="551" max="11" man="1"/>
    <brk id="587" max="11" man="1"/>
    <brk id="614" max="9" man="1"/>
    <brk id="655" max="9" man="1"/>
  </rowBreaks>
  <ignoredErrors>
    <ignoredError sqref="F2:L2" numberStoredAsText="1"/>
  </ignoredErrors>
  <legacyDrawing r:id="rId2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C38" sqref="C38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White Mtns Reg.</v>
      </c>
      <c r="C1" s="238" t="s">
        <v>839</v>
      </c>
    </row>
    <row r="2" spans="1:3" x14ac:dyDescent="0.2">
      <c r="A2" s="233"/>
      <c r="B2" s="232"/>
    </row>
    <row r="3" spans="1:3" x14ac:dyDescent="0.2">
      <c r="A3" s="278" t="s">
        <v>784</v>
      </c>
      <c r="B3" s="278"/>
      <c r="C3" s="278"/>
    </row>
    <row r="4" spans="1:3" x14ac:dyDescent="0.2">
      <c r="A4" s="236"/>
      <c r="B4" s="237" t="str">
        <f>'DOE25'!H1</f>
        <v>DOE 25  2012-2013</v>
      </c>
      <c r="C4" s="236"/>
    </row>
    <row r="5" spans="1:3" x14ac:dyDescent="0.2">
      <c r="A5" s="233"/>
      <c r="B5" s="232"/>
    </row>
    <row r="6" spans="1:3" x14ac:dyDescent="0.2">
      <c r="A6" s="227"/>
      <c r="B6" s="277" t="s">
        <v>783</v>
      </c>
      <c r="C6" s="277"/>
    </row>
    <row r="7" spans="1:3" x14ac:dyDescent="0.2">
      <c r="A7" s="239" t="s">
        <v>786</v>
      </c>
      <c r="B7" s="275" t="s">
        <v>782</v>
      </c>
      <c r="C7" s="276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'DOE25'!F196+'DOE25'!F214+'DOE25'!F232+'DOE25'!F275+'DOE25'!F294+'DOE25'!F313</f>
        <v>3889972.62</v>
      </c>
      <c r="C9" s="229">
        <f>'DOE25'!G196+'DOE25'!G214+'DOE25'!G232+'DOE25'!G275+'DOE25'!G294+'DOE25'!G313</f>
        <v>2008815.0899999999</v>
      </c>
    </row>
    <row r="10" spans="1:3" x14ac:dyDescent="0.2">
      <c r="A10" t="s">
        <v>779</v>
      </c>
      <c r="B10" s="240">
        <v>3504972.44</v>
      </c>
      <c r="C10" s="240">
        <v>1886930.4</v>
      </c>
    </row>
    <row r="11" spans="1:3" x14ac:dyDescent="0.2">
      <c r="A11" t="s">
        <v>780</v>
      </c>
      <c r="B11" s="240">
        <v>154385.92000000001</v>
      </c>
      <c r="C11" s="240">
        <v>62307.360000000001</v>
      </c>
    </row>
    <row r="12" spans="1:3" x14ac:dyDescent="0.2">
      <c r="A12" t="s">
        <v>781</v>
      </c>
      <c r="B12" s="240">
        <v>230614.26</v>
      </c>
      <c r="C12" s="240">
        <v>59577.33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3889972.62</v>
      </c>
      <c r="C13" s="231">
        <f>SUM(C10:C12)</f>
        <v>2008815.09</v>
      </c>
    </row>
    <row r="14" spans="1:3" x14ac:dyDescent="0.2">
      <c r="B14" s="230"/>
      <c r="C14" s="230"/>
    </row>
    <row r="15" spans="1:3" x14ac:dyDescent="0.2">
      <c r="B15" s="277" t="s">
        <v>783</v>
      </c>
      <c r="C15" s="277"/>
    </row>
    <row r="16" spans="1:3" x14ac:dyDescent="0.2">
      <c r="A16" s="239" t="s">
        <v>787</v>
      </c>
      <c r="B16" s="275" t="s">
        <v>707</v>
      </c>
      <c r="C16" s="276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'DOE25'!F197+'DOE25'!F215+'DOE25'!F233+'DOE25'!F276+'DOE25'!F295+'DOE25'!F314</f>
        <v>1506825.7</v>
      </c>
      <c r="C18" s="229">
        <f>'DOE25'!G197+'DOE25'!G215+'DOE25'!G233+'DOE25'!G276+'DOE25'!G295+'DOE25'!G314</f>
        <v>755535.29</v>
      </c>
    </row>
    <row r="19" spans="1:3" x14ac:dyDescent="0.2">
      <c r="A19" t="s">
        <v>779</v>
      </c>
      <c r="B19" s="240">
        <v>901570.95</v>
      </c>
      <c r="C19" s="240">
        <v>469759.38</v>
      </c>
    </row>
    <row r="20" spans="1:3" x14ac:dyDescent="0.2">
      <c r="A20" t="s">
        <v>780</v>
      </c>
      <c r="B20" s="240">
        <v>588860.16000000003</v>
      </c>
      <c r="C20" s="240">
        <v>282300.94</v>
      </c>
    </row>
    <row r="21" spans="1:3" x14ac:dyDescent="0.2">
      <c r="A21" t="s">
        <v>781</v>
      </c>
      <c r="B21" s="240">
        <v>16394.59</v>
      </c>
      <c r="C21" s="240">
        <v>3474.97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1506825.7</v>
      </c>
      <c r="C22" s="231">
        <f>SUM(C19:C21)</f>
        <v>755535.29</v>
      </c>
    </row>
    <row r="23" spans="1:3" x14ac:dyDescent="0.2">
      <c r="B23" s="230"/>
      <c r="C23" s="230"/>
    </row>
    <row r="24" spans="1:3" x14ac:dyDescent="0.2">
      <c r="B24" s="277" t="s">
        <v>783</v>
      </c>
      <c r="C24" s="277"/>
    </row>
    <row r="25" spans="1:3" x14ac:dyDescent="0.2">
      <c r="A25" s="239" t="s">
        <v>788</v>
      </c>
      <c r="B25" s="275" t="s">
        <v>708</v>
      </c>
      <c r="C25" s="276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'DOE25'!F198+'DOE25'!F216+'DOE25'!F234+'DOE25'!F277+'DOE25'!F296+'DOE25'!F315</f>
        <v>366096.18</v>
      </c>
      <c r="C27" s="234">
        <f>'DOE25'!G198+'DOE25'!G216+'DOE25'!G234+'DOE25'!G277+'DOE25'!G296+'DOE25'!G315</f>
        <v>184214.97</v>
      </c>
    </row>
    <row r="28" spans="1:3" x14ac:dyDescent="0.2">
      <c r="A28" t="s">
        <v>779</v>
      </c>
      <c r="B28" s="240">
        <v>287890.48</v>
      </c>
      <c r="C28" s="240">
        <v>151432.70000000001</v>
      </c>
    </row>
    <row r="29" spans="1:3" x14ac:dyDescent="0.2">
      <c r="A29" t="s">
        <v>780</v>
      </c>
      <c r="B29" s="240">
        <v>0</v>
      </c>
      <c r="C29" s="240"/>
    </row>
    <row r="30" spans="1:3" x14ac:dyDescent="0.2">
      <c r="A30" t="s">
        <v>781</v>
      </c>
      <c r="B30" s="240">
        <v>78205.7</v>
      </c>
      <c r="C30" s="240">
        <v>32782.269999999997</v>
      </c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366096.18</v>
      </c>
      <c r="C31" s="231">
        <f>SUM(C28:C30)</f>
        <v>184214.97</v>
      </c>
    </row>
    <row r="33" spans="1:3" x14ac:dyDescent="0.2">
      <c r="B33" s="277" t="s">
        <v>783</v>
      </c>
      <c r="C33" s="277"/>
    </row>
    <row r="34" spans="1:3" x14ac:dyDescent="0.2">
      <c r="A34" s="239" t="s">
        <v>789</v>
      </c>
      <c r="B34" s="275" t="s">
        <v>709</v>
      </c>
      <c r="C34" s="276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'DOE25'!F199+'DOE25'!F217+'DOE25'!F235+'DOE25'!F278+'DOE25'!F297+'DOE25'!F316</f>
        <v>321581.36</v>
      </c>
      <c r="C36" s="235">
        <f>'DOE25'!G199+'DOE25'!G217+'DOE25'!G235+'DOE25'!G278+'DOE25'!G297+'DOE25'!G316</f>
        <v>69061.39</v>
      </c>
    </row>
    <row r="37" spans="1:3" x14ac:dyDescent="0.2">
      <c r="A37" t="s">
        <v>779</v>
      </c>
      <c r="B37" s="240">
        <v>93694.67</v>
      </c>
      <c r="C37" s="240">
        <v>37181.800000000003</v>
      </c>
    </row>
    <row r="38" spans="1:3" x14ac:dyDescent="0.2">
      <c r="A38" t="s">
        <v>780</v>
      </c>
      <c r="B38" s="240">
        <v>0</v>
      </c>
      <c r="C38" s="240"/>
    </row>
    <row r="39" spans="1:3" x14ac:dyDescent="0.2">
      <c r="A39" t="s">
        <v>781</v>
      </c>
      <c r="B39" s="240">
        <v>227886.69</v>
      </c>
      <c r="C39" s="240">
        <v>31879.59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321581.36</v>
      </c>
      <c r="C40" s="231">
        <f>SUM(C37:C39)</f>
        <v>69061.39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BB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pane="bottomLeft" activeCell="E11" sqref="E11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7" t="s">
        <v>790</v>
      </c>
      <c r="B1" s="282"/>
      <c r="C1" s="282"/>
      <c r="D1" s="282"/>
      <c r="E1" s="282"/>
      <c r="F1" s="282"/>
      <c r="G1" s="282"/>
      <c r="H1" s="282"/>
      <c r="I1" s="181"/>
    </row>
    <row r="2" spans="1:9" x14ac:dyDescent="0.2">
      <c r="A2" s="33" t="s">
        <v>717</v>
      </c>
      <c r="B2" s="265" t="str">
        <f>'DOE25'!A2</f>
        <v>White Mtns Reg.</v>
      </c>
      <c r="C2" s="181"/>
      <c r="D2" s="181" t="s">
        <v>792</v>
      </c>
      <c r="E2" s="181" t="s">
        <v>794</v>
      </c>
      <c r="F2" s="279" t="s">
        <v>821</v>
      </c>
      <c r="G2" s="280"/>
      <c r="H2" s="281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9673330.8900000006</v>
      </c>
      <c r="D5" s="20">
        <f>SUM('DOE25'!L196:L199)+SUM('DOE25'!L214:L217)+SUM('DOE25'!L232:L235)-F5-G5</f>
        <v>9360445.4000000004</v>
      </c>
      <c r="E5" s="243"/>
      <c r="F5" s="255">
        <f>SUM('DOE25'!J196:J199)+SUM('DOE25'!J214:J217)+SUM('DOE25'!J232:J235)</f>
        <v>268705.21999999997</v>
      </c>
      <c r="G5" s="53">
        <f>SUM('DOE25'!K196:K199)+SUM('DOE25'!K214:K217)+SUM('DOE25'!K232:K235)</f>
        <v>44180.27</v>
      </c>
      <c r="H5" s="259"/>
    </row>
    <row r="6" spans="1:9" x14ac:dyDescent="0.2">
      <c r="A6" s="32">
        <v>2100</v>
      </c>
      <c r="B6" t="s">
        <v>801</v>
      </c>
      <c r="C6" s="245">
        <f t="shared" si="0"/>
        <v>1291861.93</v>
      </c>
      <c r="D6" s="20">
        <f>'DOE25'!L201+'DOE25'!L219+'DOE25'!L237-F6-G6</f>
        <v>1290112.93</v>
      </c>
      <c r="E6" s="243"/>
      <c r="F6" s="255">
        <f>'DOE25'!J201+'DOE25'!J219+'DOE25'!J237</f>
        <v>1364</v>
      </c>
      <c r="G6" s="53">
        <f>'DOE25'!K201+'DOE25'!K219+'DOE25'!K237</f>
        <v>385</v>
      </c>
      <c r="H6" s="259"/>
    </row>
    <row r="7" spans="1:9" x14ac:dyDescent="0.2">
      <c r="A7" s="32">
        <v>2200</v>
      </c>
      <c r="B7" t="s">
        <v>834</v>
      </c>
      <c r="C7" s="245">
        <f t="shared" si="0"/>
        <v>524727.36999999988</v>
      </c>
      <c r="D7" s="20">
        <f>'DOE25'!L202+'DOE25'!L220+'DOE25'!L238-F7-G7</f>
        <v>516906.68999999994</v>
      </c>
      <c r="E7" s="243"/>
      <c r="F7" s="255">
        <f>'DOE25'!J202+'DOE25'!J220+'DOE25'!J238</f>
        <v>125.68</v>
      </c>
      <c r="G7" s="53">
        <f>'DOE25'!K202+'DOE25'!K220+'DOE25'!K238</f>
        <v>7695</v>
      </c>
      <c r="H7" s="259"/>
    </row>
    <row r="8" spans="1:9" x14ac:dyDescent="0.2">
      <c r="A8" s="32">
        <v>2300</v>
      </c>
      <c r="B8" t="s">
        <v>802</v>
      </c>
      <c r="C8" s="245">
        <f t="shared" si="0"/>
        <v>733886.88999999978</v>
      </c>
      <c r="D8" s="243"/>
      <c r="E8" s="20">
        <f>'DOE25'!L203+'DOE25'!L221+'DOE25'!L239-F8-G8-D9-D11</f>
        <v>692971.7799999998</v>
      </c>
      <c r="F8" s="255">
        <f>'DOE25'!J203+'DOE25'!J221+'DOE25'!J239</f>
        <v>6452.01</v>
      </c>
      <c r="G8" s="53">
        <f>'DOE25'!K203+'DOE25'!K221+'DOE25'!K239</f>
        <v>34463.1</v>
      </c>
      <c r="H8" s="259"/>
    </row>
    <row r="9" spans="1:9" x14ac:dyDescent="0.2">
      <c r="A9" s="32">
        <v>2310</v>
      </c>
      <c r="B9" t="s">
        <v>818</v>
      </c>
      <c r="C9" s="245">
        <f t="shared" si="0"/>
        <v>115665.27</v>
      </c>
      <c r="D9" s="244">
        <v>115665.27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12000</v>
      </c>
      <c r="D10" s="243"/>
      <c r="E10" s="244">
        <v>12000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225146.91</v>
      </c>
      <c r="D11" s="244">
        <v>225146.91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1163211.96</v>
      </c>
      <c r="D12" s="20">
        <f>'DOE25'!L204+'DOE25'!L222+'DOE25'!L240-F12-G12</f>
        <v>1100099.0999999999</v>
      </c>
      <c r="E12" s="243"/>
      <c r="F12" s="255">
        <f>'DOE25'!J204+'DOE25'!J222+'DOE25'!J240</f>
        <v>30089.11</v>
      </c>
      <c r="G12" s="53">
        <f>'DOE25'!K204+'DOE25'!K222+'DOE25'!K240</f>
        <v>33023.75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218895.56</v>
      </c>
      <c r="D13" s="243"/>
      <c r="E13" s="20">
        <f>'DOE25'!L205+'DOE25'!L223+'DOE25'!L241-F13-G13</f>
        <v>218895.56</v>
      </c>
      <c r="F13" s="255">
        <f>'DOE25'!J205+'DOE25'!J223+'DOE25'!J241</f>
        <v>0</v>
      </c>
      <c r="G13" s="53">
        <f>'DOE25'!K205+'DOE25'!K223+'DOE25'!K241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2026070.46</v>
      </c>
      <c r="D14" s="20">
        <f>'DOE25'!L206+'DOE25'!L224+'DOE25'!L242-F14-G14</f>
        <v>1992690.68</v>
      </c>
      <c r="E14" s="243"/>
      <c r="F14" s="255">
        <f>'DOE25'!J206+'DOE25'!J224+'DOE25'!J242</f>
        <v>33379.78</v>
      </c>
      <c r="G14" s="53">
        <f>'DOE25'!K206+'DOE25'!K224+'DOE25'!K242</f>
        <v>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1038195.8700000001</v>
      </c>
      <c r="D15" s="20">
        <f>'DOE25'!L207+'DOE25'!L225+'DOE25'!L243-F15-G15</f>
        <v>1038195.8700000001</v>
      </c>
      <c r="E15" s="243"/>
      <c r="F15" s="255">
        <f>'DOE25'!J207+'DOE25'!J225+'DOE25'!J243</f>
        <v>0</v>
      </c>
      <c r="G15" s="53">
        <f>'DOE25'!K207+'DOE25'!K225+'DOE25'!K243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0</v>
      </c>
      <c r="D16" s="243"/>
      <c r="E16" s="20">
        <f>'DOE25'!L208+'DOE25'!L226+'DOE25'!L244-F16-G16</f>
        <v>0</v>
      </c>
      <c r="F16" s="255">
        <f>'DOE25'!J208+'DOE25'!J226+'DOE25'!J244</f>
        <v>0</v>
      </c>
      <c r="G16" s="53">
        <f>'DOE25'!K208+'DOE25'!K226+'DOE25'!K244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'DOE25'!L250-F17-G17</f>
        <v>0</v>
      </c>
      <c r="E17" s="243"/>
      <c r="F17" s="255">
        <f>'DOE25'!J250</f>
        <v>0</v>
      </c>
      <c r="G17" s="53">
        <f>'DOE25'!K250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'DOE25'!L251-F18-G18</f>
        <v>0</v>
      </c>
      <c r="E18" s="243"/>
      <c r="F18" s="255">
        <f>'DOE25'!J251</f>
        <v>0</v>
      </c>
      <c r="G18" s="53">
        <f>'DOE25'!K251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'DOE25'!L252-F19-G19</f>
        <v>0</v>
      </c>
      <c r="E19" s="243"/>
      <c r="F19" s="255">
        <f>'DOE25'!J252</f>
        <v>0</v>
      </c>
      <c r="G19" s="53">
        <f>'DOE25'!K252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734.25</v>
      </c>
      <c r="D22" s="243"/>
      <c r="E22" s="243"/>
      <c r="F22" s="255">
        <f>'DOE25'!L254+'DOE25'!L335</f>
        <v>734.25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175000</v>
      </c>
      <c r="D25" s="243"/>
      <c r="E25" s="243"/>
      <c r="F25" s="258"/>
      <c r="G25" s="256"/>
      <c r="H25" s="257">
        <f>'DOE25'!L259+'DOE25'!L260+'DOE25'!L340+'DOE25'!L341</f>
        <v>175000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330850.24000000005</v>
      </c>
      <c r="D29" s="20">
        <f>'DOE25'!L357+'DOE25'!L358+'DOE25'!L359-'DOE25'!I366-F29-G29</f>
        <v>316896.33000000007</v>
      </c>
      <c r="E29" s="243"/>
      <c r="F29" s="255">
        <f>'DOE25'!J357+'DOE25'!J358+'DOE25'!J359</f>
        <v>8694.18</v>
      </c>
      <c r="G29" s="53">
        <f>'DOE25'!K357+'DOE25'!K358+'DOE25'!K359</f>
        <v>5259.7300000000005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1004281.6499999999</v>
      </c>
      <c r="D31" s="20">
        <f>'DOE25'!L289+'DOE25'!L308+'DOE25'!L327+'DOE25'!L332+'DOE25'!L333+'DOE25'!L334-F31-G31</f>
        <v>970417.6</v>
      </c>
      <c r="E31" s="243"/>
      <c r="F31" s="255">
        <f>'DOE25'!J289+'DOE25'!J308+'DOE25'!J327+'DOE25'!J332+'DOE25'!J333+'DOE25'!J334</f>
        <v>27790.449999999997</v>
      </c>
      <c r="G31" s="53">
        <f>'DOE25'!K289+'DOE25'!K308+'DOE25'!K327+'DOE25'!K332+'DOE25'!K333+'DOE25'!K334</f>
        <v>6073.6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16926576.779999997</v>
      </c>
      <c r="E33" s="246">
        <f>SUM(E5:E31)</f>
        <v>923867.33999999985</v>
      </c>
      <c r="F33" s="246">
        <f>SUM(F5:F31)</f>
        <v>377334.67999999993</v>
      </c>
      <c r="G33" s="246">
        <f>SUM(G5:G31)</f>
        <v>131080.44999999998</v>
      </c>
      <c r="H33" s="246">
        <f>SUM(H5:H31)</f>
        <v>175000</v>
      </c>
    </row>
    <row r="35" spans="2:8" ht="12" thickBot="1" x14ac:dyDescent="0.25">
      <c r="B35" s="253" t="s">
        <v>847</v>
      </c>
      <c r="D35" s="254">
        <f>E33</f>
        <v>923867.33999999985</v>
      </c>
      <c r="E35" s="249"/>
    </row>
    <row r="36" spans="2:8" ht="12" thickTop="1" x14ac:dyDescent="0.2">
      <c r="B36" t="s">
        <v>815</v>
      </c>
      <c r="D36" s="20">
        <f>D33</f>
        <v>16926576.779999997</v>
      </c>
    </row>
    <row r="38" spans="2:8" x14ac:dyDescent="0.2">
      <c r="B38" s="187" t="s">
        <v>903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BB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3"/>
  <sheetViews>
    <sheetView zoomScale="80" zoomScaleNormal="80" workbookViewId="0">
      <pane ySplit="2" topLeftCell="A3" activePane="bottomLeft" state="frozen"/>
      <selection pane="bottomLeft" activeCell="A67" sqref="A67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White Mtns Reg.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1036647.79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158.91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331627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0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244747.25</v>
      </c>
      <c r="D12" s="95">
        <f>'DOE25'!G13</f>
        <v>17668.57</v>
      </c>
      <c r="E12" s="95">
        <f>'DOE25'!H13</f>
        <v>242580.4</v>
      </c>
      <c r="F12" s="95">
        <f>'DOE25'!I13</f>
        <v>0</v>
      </c>
      <c r="G12" s="95">
        <f>'DOE25'!J13</f>
        <v>1102525.3799999999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3119.47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14854.77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1631155.1900000002</v>
      </c>
      <c r="D18" s="41">
        <f>SUM(D8:D17)</f>
        <v>17668.57</v>
      </c>
      <c r="E18" s="41">
        <f>SUM(E8:E17)</f>
        <v>242580.4</v>
      </c>
      <c r="F18" s="41">
        <f>SUM(F8:F17)</f>
        <v>0</v>
      </c>
      <c r="G18" s="41">
        <f>SUM(G8:G17)</f>
        <v>1102525.3799999999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-177684.34</v>
      </c>
      <c r="D21" s="95">
        <f>'DOE25'!G22</f>
        <v>-39760.21</v>
      </c>
      <c r="E21" s="95">
        <f>'DOE25'!H22</f>
        <v>217444.55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11380.83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1081407.8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82.5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14378.62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915186.79</v>
      </c>
      <c r="D31" s="41">
        <f>SUM(D21:D30)</f>
        <v>-39760.21</v>
      </c>
      <c r="E31" s="41">
        <f>SUM(E21:E30)</f>
        <v>231823.16999999998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57428.78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896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195002.11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29" t="s">
        <v>864</v>
      </c>
      <c r="B45" s="6"/>
      <c r="C45" s="24" t="s">
        <v>289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1" t="s">
        <v>881</v>
      </c>
      <c r="B46" s="6">
        <v>760</v>
      </c>
      <c r="C46" s="95">
        <f>'DOE25'!F47</f>
        <v>0</v>
      </c>
      <c r="D46" s="95">
        <f>'DOE25'!G47</f>
        <v>0</v>
      </c>
      <c r="E46" s="95">
        <f>'DOE25'!H47</f>
        <v>10757.23</v>
      </c>
      <c r="F46" s="95">
        <f>'DOE25'!I47</f>
        <v>0</v>
      </c>
      <c r="G46" s="95">
        <f>'DOE25'!J47</f>
        <v>1102525.3799999999</v>
      </c>
      <c r="H46" s="124"/>
      <c r="I46" s="124"/>
    </row>
    <row r="47" spans="1:9" x14ac:dyDescent="0.2">
      <c r="A47" s="1" t="s">
        <v>897</v>
      </c>
      <c r="B47" s="6">
        <v>753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0</v>
      </c>
      <c r="H47" s="124"/>
      <c r="I47" s="124"/>
    </row>
    <row r="48" spans="1:9" ht="12" thickBot="1" x14ac:dyDescent="0.25">
      <c r="A48" s="29" t="s">
        <v>882</v>
      </c>
      <c r="B48" s="71">
        <v>770</v>
      </c>
      <c r="C48" s="95">
        <f>'DOE25'!F49</f>
        <v>520966.29</v>
      </c>
      <c r="D48" s="24" t="s">
        <v>289</v>
      </c>
      <c r="E48" s="24" t="s">
        <v>289</v>
      </c>
      <c r="F48" s="24" t="s">
        <v>289</v>
      </c>
      <c r="G48" s="24" t="s">
        <v>289</v>
      </c>
      <c r="H48" s="124"/>
      <c r="I48" s="124"/>
    </row>
    <row r="49" spans="1:9" ht="12.75" thickTop="1" thickBot="1" x14ac:dyDescent="0.25">
      <c r="A49" s="38" t="s">
        <v>883</v>
      </c>
      <c r="B49" s="48"/>
      <c r="C49" s="41">
        <f>SUM(C34:C48)</f>
        <v>715968.39999999991</v>
      </c>
      <c r="D49" s="41">
        <f>SUM(D34:D48)</f>
        <v>57428.78</v>
      </c>
      <c r="E49" s="41">
        <f>SUM(E34:E48)</f>
        <v>10757.23</v>
      </c>
      <c r="F49" s="41">
        <f>SUM(F34:F48)</f>
        <v>0</v>
      </c>
      <c r="G49" s="41">
        <f>SUM(G34:G48)</f>
        <v>1102525.3799999999</v>
      </c>
      <c r="H49" s="124"/>
      <c r="I49" s="124"/>
    </row>
    <row r="50" spans="1:9" ht="12" thickTop="1" x14ac:dyDescent="0.2">
      <c r="A50" s="38" t="s">
        <v>884</v>
      </c>
      <c r="B50" s="2"/>
      <c r="C50" s="41">
        <f>C49+C31</f>
        <v>1631155.19</v>
      </c>
      <c r="D50" s="41">
        <f>D49+D31</f>
        <v>17668.57</v>
      </c>
      <c r="E50" s="41">
        <f>E49+E31</f>
        <v>242580.4</v>
      </c>
      <c r="F50" s="41">
        <f>F49+F31</f>
        <v>0</v>
      </c>
      <c r="G50" s="41">
        <f>G49+G31</f>
        <v>1102525.3799999999</v>
      </c>
      <c r="H50" s="124"/>
      <c r="I50" s="124"/>
    </row>
    <row r="51" spans="1:9" x14ac:dyDescent="0.2">
      <c r="H51" s="124"/>
      <c r="I51" s="124"/>
    </row>
    <row r="52" spans="1:9" x14ac:dyDescent="0.2">
      <c r="B52" s="3"/>
      <c r="C52" s="16" t="s">
        <v>281</v>
      </c>
      <c r="D52" s="16" t="s">
        <v>282</v>
      </c>
      <c r="E52" s="16" t="s">
        <v>283</v>
      </c>
      <c r="F52" s="16" t="s">
        <v>284</v>
      </c>
      <c r="G52" s="16" t="s">
        <v>307</v>
      </c>
    </row>
    <row r="53" spans="1:9" x14ac:dyDescent="0.2">
      <c r="A53" s="1" t="s">
        <v>320</v>
      </c>
      <c r="B53" s="127"/>
      <c r="C53" s="24" t="s">
        <v>289</v>
      </c>
      <c r="D53" s="24" t="s">
        <v>289</v>
      </c>
      <c r="E53" s="24" t="s">
        <v>289</v>
      </c>
      <c r="F53" s="24" t="s">
        <v>289</v>
      </c>
      <c r="G53" s="24" t="s">
        <v>289</v>
      </c>
      <c r="H53" s="20"/>
      <c r="I53" s="20"/>
    </row>
    <row r="54" spans="1:9" x14ac:dyDescent="0.2">
      <c r="A54" s="128" t="s">
        <v>161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/>
      <c r="I54"/>
    </row>
    <row r="55" spans="1:9" x14ac:dyDescent="0.2">
      <c r="A55" s="1" t="s">
        <v>162</v>
      </c>
      <c r="B55" s="6" t="s">
        <v>163</v>
      </c>
      <c r="C55" s="95">
        <f>'DOE25'!F59</f>
        <v>7501270</v>
      </c>
      <c r="D55" s="95">
        <f>'DOE25'!G59</f>
        <v>0</v>
      </c>
      <c r="E55" s="95">
        <f>'DOE25'!H59</f>
        <v>0</v>
      </c>
      <c r="F55" s="95">
        <f>'DOE25'!I59</f>
        <v>0</v>
      </c>
      <c r="G55" s="95">
        <f>'DOE25'!J59</f>
        <v>0</v>
      </c>
      <c r="H55"/>
      <c r="I55"/>
    </row>
    <row r="56" spans="1:9" x14ac:dyDescent="0.2">
      <c r="A56" s="1" t="s">
        <v>164</v>
      </c>
      <c r="B56" s="6" t="s">
        <v>165</v>
      </c>
      <c r="C56" s="95">
        <f>'DOE25'!F78</f>
        <v>548538.91999999993</v>
      </c>
      <c r="D56" s="24" t="s">
        <v>289</v>
      </c>
      <c r="E56" s="95">
        <f>'DOE25'!H78</f>
        <v>0</v>
      </c>
      <c r="F56" s="24" t="s">
        <v>289</v>
      </c>
      <c r="G56" s="24" t="s">
        <v>289</v>
      </c>
      <c r="H56"/>
      <c r="I56"/>
    </row>
    <row r="57" spans="1:9" x14ac:dyDescent="0.2">
      <c r="A57" s="1" t="s">
        <v>166</v>
      </c>
      <c r="B57" s="6" t="s">
        <v>167</v>
      </c>
      <c r="C57" s="95">
        <f>'DOE25'!F93</f>
        <v>0</v>
      </c>
      <c r="D57" s="24" t="s">
        <v>289</v>
      </c>
      <c r="E57" s="95">
        <f>'DOE25'!H93</f>
        <v>0</v>
      </c>
      <c r="F57" s="24" t="s">
        <v>289</v>
      </c>
      <c r="G57" s="24" t="s">
        <v>289</v>
      </c>
      <c r="H57"/>
      <c r="I57"/>
    </row>
    <row r="58" spans="1:9" x14ac:dyDescent="0.2">
      <c r="A58" s="69" t="s">
        <v>168</v>
      </c>
      <c r="B58" s="37" t="s">
        <v>169</v>
      </c>
      <c r="C58" s="95">
        <f>'DOE25'!F95</f>
        <v>5622.22</v>
      </c>
      <c r="D58" s="95">
        <f>'DOE25'!G95</f>
        <v>0</v>
      </c>
      <c r="E58" s="95">
        <f>'DOE25'!H95</f>
        <v>0</v>
      </c>
      <c r="F58" s="95">
        <f>'DOE25'!I95</f>
        <v>0</v>
      </c>
      <c r="G58" s="95">
        <f>'DOE25'!J95</f>
        <v>10039.56</v>
      </c>
      <c r="H58"/>
      <c r="I58"/>
    </row>
    <row r="59" spans="1:9" x14ac:dyDescent="0.2">
      <c r="A59" s="1" t="s">
        <v>170</v>
      </c>
      <c r="B59" s="118" t="s">
        <v>171</v>
      </c>
      <c r="C59" s="24" t="s">
        <v>289</v>
      </c>
      <c r="D59" s="95">
        <f>'DOE25'!G96</f>
        <v>188203.82</v>
      </c>
      <c r="E59" s="24" t="s">
        <v>289</v>
      </c>
      <c r="F59" s="24" t="s">
        <v>289</v>
      </c>
      <c r="G59" s="24" t="s">
        <v>289</v>
      </c>
      <c r="H59"/>
      <c r="I59"/>
    </row>
    <row r="60" spans="1:9" ht="12" thickBot="1" x14ac:dyDescent="0.25">
      <c r="A60" s="1" t="s">
        <v>172</v>
      </c>
      <c r="B60" s="118" t="s">
        <v>173</v>
      </c>
      <c r="C60" s="95">
        <f>SUM('DOE25'!F97:F109)</f>
        <v>314873.45999999996</v>
      </c>
      <c r="D60" s="95">
        <f>SUM('DOE25'!G97:G109)</f>
        <v>0</v>
      </c>
      <c r="E60" s="95">
        <f>SUM('DOE25'!H97:H109)</f>
        <v>18510.55</v>
      </c>
      <c r="F60" s="95">
        <f>SUM('DOE25'!I97:I109)</f>
        <v>0</v>
      </c>
      <c r="G60" s="95">
        <f>SUM('DOE25'!J97:J109)</f>
        <v>1526.98</v>
      </c>
      <c r="H60"/>
      <c r="I60"/>
    </row>
    <row r="61" spans="1:9" ht="12.75" thickTop="1" thickBot="1" x14ac:dyDescent="0.25">
      <c r="A61" s="29" t="s">
        <v>174</v>
      </c>
      <c r="B61" s="6"/>
      <c r="C61" s="130">
        <f>SUM(C56:C60)</f>
        <v>869034.59999999986</v>
      </c>
      <c r="D61" s="130">
        <f>SUM(D56:D60)</f>
        <v>188203.82</v>
      </c>
      <c r="E61" s="130">
        <f>SUM(E56:E60)</f>
        <v>18510.55</v>
      </c>
      <c r="F61" s="130">
        <f>SUM(F56:F60)</f>
        <v>0</v>
      </c>
      <c r="G61" s="130">
        <f>SUM(G56:G60)</f>
        <v>11566.539999999999</v>
      </c>
      <c r="H61"/>
      <c r="I61"/>
    </row>
    <row r="62" spans="1:9" ht="12" thickTop="1" x14ac:dyDescent="0.2">
      <c r="A62" s="29" t="s">
        <v>175</v>
      </c>
      <c r="B62" s="6"/>
      <c r="C62" s="22">
        <f>C55+C61</f>
        <v>8370304.5999999996</v>
      </c>
      <c r="D62" s="22">
        <f>D55+D61</f>
        <v>188203.82</v>
      </c>
      <c r="E62" s="22">
        <f>E55+E61</f>
        <v>18510.55</v>
      </c>
      <c r="F62" s="22">
        <f>F55+F61</f>
        <v>0</v>
      </c>
      <c r="G62" s="22">
        <f>G55+G61</f>
        <v>11566.539999999999</v>
      </c>
      <c r="H62"/>
      <c r="I62"/>
    </row>
    <row r="63" spans="1:9" x14ac:dyDescent="0.2">
      <c r="A63" s="29" t="s">
        <v>321</v>
      </c>
      <c r="B63" s="6"/>
      <c r="C63" s="24" t="s">
        <v>289</v>
      </c>
      <c r="D63" s="24" t="s">
        <v>289</v>
      </c>
      <c r="E63" s="24" t="s">
        <v>289</v>
      </c>
      <c r="F63" s="24" t="s">
        <v>289</v>
      </c>
      <c r="G63" s="24" t="s">
        <v>289</v>
      </c>
      <c r="H63"/>
      <c r="I63"/>
    </row>
    <row r="64" spans="1:9" x14ac:dyDescent="0.2">
      <c r="A64" s="29" t="s">
        <v>176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1" t="s">
        <v>850</v>
      </c>
      <c r="B65" s="6">
        <v>3111</v>
      </c>
      <c r="C65" s="95">
        <f>'DOE25'!F116</f>
        <v>6755384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774</v>
      </c>
      <c r="B66" s="6">
        <v>3112</v>
      </c>
      <c r="C66" s="95">
        <f>'DOE25'!F117</f>
        <v>2369392</v>
      </c>
      <c r="D66" s="24"/>
      <c r="E66" s="24"/>
      <c r="F66" s="24"/>
      <c r="G66" s="24"/>
      <c r="H66"/>
      <c r="I66"/>
    </row>
    <row r="67" spans="1:9" x14ac:dyDescent="0.2">
      <c r="A67" s="1" t="s">
        <v>908</v>
      </c>
      <c r="B67" s="6">
        <v>3119</v>
      </c>
      <c r="C67" s="24" t="str">
        <f>'DOE25'!F118</f>
        <v>............</v>
      </c>
      <c r="D67" s="24" t="s">
        <v>289</v>
      </c>
      <c r="E67" s="24" t="s">
        <v>289</v>
      </c>
      <c r="F67" s="24" t="s">
        <v>289</v>
      </c>
      <c r="G67" s="24" t="s">
        <v>289</v>
      </c>
      <c r="H67"/>
      <c r="I67"/>
    </row>
    <row r="68" spans="1:9" ht="12" thickBot="1" x14ac:dyDescent="0.25">
      <c r="A68" s="1" t="s">
        <v>251</v>
      </c>
      <c r="B68" s="6" t="s">
        <v>177</v>
      </c>
      <c r="C68" s="95">
        <f>'DOE25'!F119</f>
        <v>0</v>
      </c>
      <c r="D68" s="95">
        <f>'DOE25'!G119</f>
        <v>0</v>
      </c>
      <c r="E68" s="95">
        <f>'DOE25'!H119</f>
        <v>0</v>
      </c>
      <c r="F68" s="95">
        <f>'DOE25'!I119</f>
        <v>0</v>
      </c>
      <c r="G68" s="95">
        <f>'DOE25'!J119</f>
        <v>0</v>
      </c>
      <c r="H68"/>
      <c r="I68"/>
    </row>
    <row r="69" spans="1:9" ht="12" thickTop="1" x14ac:dyDescent="0.2">
      <c r="A69" s="29" t="s">
        <v>252</v>
      </c>
      <c r="B69" s="2"/>
      <c r="C69" s="139">
        <f>SUM(C65:C68)</f>
        <v>9124776</v>
      </c>
      <c r="D69" s="139">
        <f>D68</f>
        <v>0</v>
      </c>
      <c r="E69" s="139">
        <f>E68</f>
        <v>0</v>
      </c>
      <c r="F69" s="139">
        <f>F68</f>
        <v>0</v>
      </c>
      <c r="G69" s="139">
        <f>G68</f>
        <v>0</v>
      </c>
      <c r="H69"/>
      <c r="I69"/>
    </row>
    <row r="70" spans="1:9" x14ac:dyDescent="0.2">
      <c r="A70" s="29" t="s">
        <v>178</v>
      </c>
      <c r="B70" s="2"/>
      <c r="C70" s="24" t="s">
        <v>289</v>
      </c>
      <c r="D70" s="24" t="s">
        <v>289</v>
      </c>
      <c r="E70" s="24" t="s">
        <v>289</v>
      </c>
      <c r="F70" s="24" t="s">
        <v>289</v>
      </c>
      <c r="G70" s="24" t="s">
        <v>289</v>
      </c>
      <c r="H70"/>
      <c r="I70"/>
    </row>
    <row r="71" spans="1:9" x14ac:dyDescent="0.2">
      <c r="A71" s="1" t="s">
        <v>253</v>
      </c>
      <c r="B71" s="6">
        <v>3210</v>
      </c>
      <c r="C71" s="95">
        <f>'DOE25'!F122</f>
        <v>115094.55</v>
      </c>
      <c r="D71" s="24" t="s">
        <v>289</v>
      </c>
      <c r="E71" s="24" t="s">
        <v>289</v>
      </c>
      <c r="F71" s="95">
        <f>'DOE25'!I122</f>
        <v>0</v>
      </c>
      <c r="G71" s="24" t="s">
        <v>289</v>
      </c>
      <c r="H71"/>
      <c r="I71"/>
    </row>
    <row r="72" spans="1:9" x14ac:dyDescent="0.2">
      <c r="A72" s="1" t="s">
        <v>254</v>
      </c>
      <c r="B72" s="6">
        <v>3215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255</v>
      </c>
      <c r="B73" s="6">
        <v>3220</v>
      </c>
      <c r="C73" s="95">
        <f>'DOE25'!F124</f>
        <v>0</v>
      </c>
      <c r="D73" s="24"/>
      <c r="E73" s="24"/>
      <c r="F73" s="24"/>
      <c r="G73" s="24"/>
      <c r="H73"/>
      <c r="I73"/>
    </row>
    <row r="74" spans="1:9" x14ac:dyDescent="0.2">
      <c r="A74" s="1" t="s">
        <v>256</v>
      </c>
      <c r="B74" s="6">
        <v>3230</v>
      </c>
      <c r="C74" s="95">
        <f>'DOE25'!F125</f>
        <v>109491.44</v>
      </c>
      <c r="D74" s="24" t="s">
        <v>289</v>
      </c>
      <c r="E74" s="24" t="s">
        <v>289</v>
      </c>
      <c r="F74" s="24" t="s">
        <v>289</v>
      </c>
      <c r="G74" s="24" t="s">
        <v>289</v>
      </c>
      <c r="H74"/>
      <c r="I74"/>
    </row>
    <row r="75" spans="1:9" x14ac:dyDescent="0.2">
      <c r="A75" s="1" t="s">
        <v>257</v>
      </c>
      <c r="B75" s="6" t="s">
        <v>179</v>
      </c>
      <c r="C75" s="95">
        <f>SUM('DOE25'!F126:F129)</f>
        <v>59416.87</v>
      </c>
      <c r="D75" s="24" t="s">
        <v>289</v>
      </c>
      <c r="E75" s="95">
        <f>SUM('DOE25'!H126:H129)</f>
        <v>0</v>
      </c>
      <c r="F75" s="95">
        <f>SUM('DOE25'!I126:I129)</f>
        <v>0</v>
      </c>
      <c r="G75" s="24" t="s">
        <v>289</v>
      </c>
      <c r="H75"/>
      <c r="I75"/>
    </row>
    <row r="76" spans="1:9" ht="12" thickBot="1" x14ac:dyDescent="0.25">
      <c r="A76" s="1" t="s">
        <v>258</v>
      </c>
      <c r="B76" s="6" t="s">
        <v>180</v>
      </c>
      <c r="C76" s="95">
        <f>SUM('DOE25'!F130:F134)</f>
        <v>0</v>
      </c>
      <c r="D76" s="95">
        <f>SUM('DOE25'!G130:G134)</f>
        <v>5646.67</v>
      </c>
      <c r="E76" s="95">
        <f>SUM('DOE25'!H130:H134)</f>
        <v>0</v>
      </c>
      <c r="F76" s="95">
        <f>SUM('DOE25'!I130:I134)</f>
        <v>0</v>
      </c>
      <c r="G76" s="95">
        <f>SUM('DOE25'!J130:J134)</f>
        <v>0</v>
      </c>
      <c r="H76"/>
      <c r="I76"/>
    </row>
    <row r="77" spans="1:9" ht="12.75" thickTop="1" thickBot="1" x14ac:dyDescent="0.25">
      <c r="A77" s="29" t="s">
        <v>259</v>
      </c>
      <c r="B77" s="6"/>
      <c r="C77" s="130">
        <f>SUM(C71:C76)</f>
        <v>284002.86</v>
      </c>
      <c r="D77" s="130">
        <f>SUM(D71:D76)</f>
        <v>5646.67</v>
      </c>
      <c r="E77" s="130">
        <f>SUM(E71:E76)</f>
        <v>0</v>
      </c>
      <c r="F77" s="130">
        <f>SUM(F71:F76)</f>
        <v>0</v>
      </c>
      <c r="G77" s="130">
        <f>SUM(G71:G76)</f>
        <v>0</v>
      </c>
      <c r="H77"/>
      <c r="I77"/>
    </row>
    <row r="78" spans="1:9" ht="12" thickTop="1" x14ac:dyDescent="0.2">
      <c r="A78" s="1" t="s">
        <v>260</v>
      </c>
      <c r="B78" s="6">
        <v>3700</v>
      </c>
      <c r="C78" s="95">
        <f>'DOE25'!F136</f>
        <v>0</v>
      </c>
      <c r="D78" s="95">
        <f>'DOE25'!G136</f>
        <v>0</v>
      </c>
      <c r="E78" s="95">
        <f>'DOE25'!H136</f>
        <v>0</v>
      </c>
      <c r="F78" s="24" t="s">
        <v>289</v>
      </c>
      <c r="G78" s="24" t="s">
        <v>289</v>
      </c>
      <c r="H78"/>
      <c r="I78"/>
    </row>
    <row r="79" spans="1:9" ht="12" thickBot="1" x14ac:dyDescent="0.25">
      <c r="A79" s="1" t="s">
        <v>261</v>
      </c>
      <c r="B79" s="6">
        <v>3800</v>
      </c>
      <c r="C79" s="95">
        <f>'DOE25'!F137</f>
        <v>0</v>
      </c>
      <c r="D79" s="24" t="s">
        <v>289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.75" thickTop="1" thickBot="1" x14ac:dyDescent="0.25">
      <c r="A80" s="29" t="s">
        <v>748</v>
      </c>
      <c r="B80" s="2"/>
      <c r="C80" s="130">
        <f>SUM(C78:C79)+C77+C69</f>
        <v>9408778.8599999994</v>
      </c>
      <c r="D80" s="130">
        <f>SUM(D78:D79)+D77+D69</f>
        <v>5646.67</v>
      </c>
      <c r="E80" s="130">
        <f>SUM(E78:E79)+E77+E69</f>
        <v>0</v>
      </c>
      <c r="F80" s="130">
        <f>SUM(F78:F79)+F77+F69</f>
        <v>0</v>
      </c>
      <c r="G80" s="130">
        <f>SUM(G78:G79)+G77+G69</f>
        <v>0</v>
      </c>
      <c r="H80"/>
      <c r="I80"/>
    </row>
    <row r="81" spans="1:9" ht="12" thickTop="1" x14ac:dyDescent="0.2">
      <c r="B81" s="3"/>
      <c r="C81" s="16" t="s">
        <v>281</v>
      </c>
      <c r="D81" s="16" t="s">
        <v>282</v>
      </c>
      <c r="E81" s="16" t="s">
        <v>283</v>
      </c>
      <c r="F81" s="16" t="s">
        <v>284</v>
      </c>
      <c r="G81" s="16" t="s">
        <v>307</v>
      </c>
      <c r="H81"/>
      <c r="I81"/>
    </row>
    <row r="82" spans="1:9" x14ac:dyDescent="0.2">
      <c r="A82" s="1" t="s">
        <v>320</v>
      </c>
      <c r="B82" s="127"/>
      <c r="C82" s="24" t="s">
        <v>289</v>
      </c>
      <c r="D82" s="24" t="s">
        <v>289</v>
      </c>
      <c r="E82" s="24" t="s">
        <v>289</v>
      </c>
      <c r="F82" s="24" t="s">
        <v>289</v>
      </c>
      <c r="G82" s="24" t="s">
        <v>289</v>
      </c>
      <c r="H82"/>
      <c r="I82"/>
    </row>
    <row r="83" spans="1:9" x14ac:dyDescent="0.2">
      <c r="A83" s="128" t="s">
        <v>181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t="s">
        <v>749</v>
      </c>
      <c r="B84" s="32" t="s">
        <v>182</v>
      </c>
      <c r="C84" s="95">
        <f>'DOE25'!F146</f>
        <v>0</v>
      </c>
      <c r="D84" s="95">
        <f>'DOE25'!G146</f>
        <v>0</v>
      </c>
      <c r="E84" s="95">
        <f>'DOE25'!H146</f>
        <v>0</v>
      </c>
      <c r="F84" s="95">
        <f>'DOE25'!I146</f>
        <v>0</v>
      </c>
      <c r="G84" s="24" t="s">
        <v>289</v>
      </c>
      <c r="H84"/>
      <c r="I84"/>
    </row>
    <row r="85" spans="1:9" x14ac:dyDescent="0.2">
      <c r="A85" s="33" t="s">
        <v>178</v>
      </c>
      <c r="B85" s="32"/>
      <c r="C85" s="24" t="s">
        <v>289</v>
      </c>
      <c r="D85" s="24" t="s">
        <v>289</v>
      </c>
      <c r="E85" s="24" t="s">
        <v>289</v>
      </c>
      <c r="F85" s="24" t="s">
        <v>289</v>
      </c>
      <c r="G85" s="24" t="s">
        <v>289</v>
      </c>
    </row>
    <row r="86" spans="1:9" x14ac:dyDescent="0.2">
      <c r="A86" t="s">
        <v>750</v>
      </c>
      <c r="B86" s="32" t="s">
        <v>183</v>
      </c>
      <c r="C86" s="95">
        <f>SUM('DOE25'!F148:F151)</f>
        <v>0</v>
      </c>
      <c r="D86" s="24" t="s">
        <v>289</v>
      </c>
      <c r="E86" s="95">
        <f>SUM('DOE25'!H148:H151)</f>
        <v>0</v>
      </c>
      <c r="F86" s="95">
        <f>SUM('DOE25'!I148:I151)</f>
        <v>0</v>
      </c>
      <c r="G86" s="24" t="s">
        <v>289</v>
      </c>
    </row>
    <row r="87" spans="1:9" x14ac:dyDescent="0.2">
      <c r="A87" t="s">
        <v>751</v>
      </c>
      <c r="B87" s="32" t="s">
        <v>184</v>
      </c>
      <c r="C87" s="95">
        <f>SUM('DOE25'!F152:F160)</f>
        <v>106811.56</v>
      </c>
      <c r="D87" s="95">
        <f>SUM('DOE25'!G152:G160)</f>
        <v>322399.28000000003</v>
      </c>
      <c r="E87" s="95">
        <f>SUM('DOE25'!H152:H160)</f>
        <v>1031124.5299999999</v>
      </c>
      <c r="F87" s="95">
        <f>SUM('DOE25'!I152:I160)</f>
        <v>0</v>
      </c>
      <c r="G87" s="24" t="s">
        <v>289</v>
      </c>
    </row>
    <row r="88" spans="1:9" x14ac:dyDescent="0.2">
      <c r="A88" t="s">
        <v>752</v>
      </c>
      <c r="B88" s="32" t="s">
        <v>185</v>
      </c>
      <c r="C88" s="95">
        <f>'DOE25'!F162+'DOE25'!F165+'DOE25'!F167</f>
        <v>0</v>
      </c>
      <c r="D88" s="95">
        <f>'DOE25'!G162+'DOE25'!G167</f>
        <v>0</v>
      </c>
      <c r="E88" s="95">
        <f>'DOE25'!H162+'DOE25'!H167</f>
        <v>0</v>
      </c>
      <c r="F88" s="95">
        <f>'DOE25'!I162</f>
        <v>0</v>
      </c>
      <c r="G88" s="24" t="s">
        <v>289</v>
      </c>
    </row>
    <row r="89" spans="1:9" ht="12" thickBot="1" x14ac:dyDescent="0.25">
      <c r="A89" t="s">
        <v>753</v>
      </c>
      <c r="B89" s="32">
        <v>4810</v>
      </c>
      <c r="C89" s="95">
        <f>'DOE25'!F164</f>
        <v>23688.76</v>
      </c>
      <c r="D89" s="24" t="s">
        <v>289</v>
      </c>
      <c r="E89" s="24" t="s">
        <v>289</v>
      </c>
      <c r="F89" s="24" t="s">
        <v>289</v>
      </c>
      <c r="G89" s="24" t="s">
        <v>289</v>
      </c>
    </row>
    <row r="90" spans="1:9" ht="12.75" thickTop="1" thickBot="1" x14ac:dyDescent="0.25">
      <c r="A90" s="33" t="s">
        <v>754</v>
      </c>
      <c r="C90" s="131">
        <f>SUM(C84:C89)</f>
        <v>130500.31999999999</v>
      </c>
      <c r="D90" s="131">
        <f>SUM(D84:D89)</f>
        <v>322399.28000000003</v>
      </c>
      <c r="E90" s="131">
        <f>SUM(E84:E89)</f>
        <v>1031124.5299999999</v>
      </c>
      <c r="F90" s="131">
        <f>SUM(F84:F89)</f>
        <v>0</v>
      </c>
      <c r="G90" s="24" t="s">
        <v>289</v>
      </c>
    </row>
    <row r="91" spans="1:9" ht="12" thickTop="1" x14ac:dyDescent="0.2">
      <c r="A91" s="33" t="s">
        <v>186</v>
      </c>
      <c r="C91" s="24" t="s">
        <v>289</v>
      </c>
      <c r="D91" s="24" t="s">
        <v>289</v>
      </c>
      <c r="E91" s="24" t="s">
        <v>289</v>
      </c>
      <c r="F91" s="24" t="s">
        <v>289</v>
      </c>
      <c r="G91" s="24" t="s">
        <v>289</v>
      </c>
    </row>
    <row r="92" spans="1:9" x14ac:dyDescent="0.2">
      <c r="A92" t="s">
        <v>755</v>
      </c>
      <c r="B92" s="32" t="s">
        <v>187</v>
      </c>
      <c r="C92" s="95">
        <f>SUM('DOE25'!F172:F174)</f>
        <v>0</v>
      </c>
      <c r="D92" s="24" t="s">
        <v>289</v>
      </c>
      <c r="E92" s="24" t="s">
        <v>289</v>
      </c>
      <c r="F92" s="95">
        <f>SUM('DOE25'!I172:I174)</f>
        <v>0</v>
      </c>
      <c r="G92" s="24" t="s">
        <v>289</v>
      </c>
    </row>
    <row r="93" spans="1:9" x14ac:dyDescent="0.2">
      <c r="A93" t="s">
        <v>756</v>
      </c>
      <c r="B93" s="32">
        <v>5140</v>
      </c>
      <c r="C93" s="95">
        <f>'DOE25'!F175</f>
        <v>0</v>
      </c>
      <c r="D93" s="24" t="s">
        <v>289</v>
      </c>
      <c r="E93" s="24" t="s">
        <v>289</v>
      </c>
      <c r="F93" s="95">
        <f>'DOE25'!I175</f>
        <v>0</v>
      </c>
      <c r="G93" s="24" t="s">
        <v>289</v>
      </c>
    </row>
    <row r="94" spans="1:9" x14ac:dyDescent="0.2">
      <c r="A94" s="33" t="s">
        <v>332</v>
      </c>
      <c r="B94" s="32"/>
      <c r="C94" s="24" t="s">
        <v>289</v>
      </c>
      <c r="D94" s="24" t="s">
        <v>289</v>
      </c>
      <c r="E94" s="24" t="s">
        <v>289</v>
      </c>
      <c r="F94" s="24" t="s">
        <v>289</v>
      </c>
      <c r="G94" s="24" t="s">
        <v>289</v>
      </c>
    </row>
    <row r="95" spans="1:9" x14ac:dyDescent="0.2">
      <c r="A95" t="s">
        <v>757</v>
      </c>
      <c r="B95" s="32">
        <v>5210</v>
      </c>
      <c r="C95" s="24" t="s">
        <v>289</v>
      </c>
      <c r="D95" s="95">
        <f>'DOE25'!G178</f>
        <v>4306</v>
      </c>
      <c r="E95" s="95">
        <f>'DOE25'!H178</f>
        <v>0</v>
      </c>
      <c r="F95" s="95">
        <f>'DOE25'!I178</f>
        <v>0</v>
      </c>
      <c r="G95" s="95">
        <f>'DOE25'!J178</f>
        <v>501328.04</v>
      </c>
    </row>
    <row r="96" spans="1:9" x14ac:dyDescent="0.2">
      <c r="A96" t="s">
        <v>758</v>
      </c>
      <c r="B96" s="32" t="s">
        <v>188</v>
      </c>
      <c r="C96" s="95">
        <f>SUM('DOE25'!F179:F180)</f>
        <v>0</v>
      </c>
      <c r="D96" s="95">
        <f>SUM('DOE25'!G179:G180)</f>
        <v>0</v>
      </c>
      <c r="E96" s="95">
        <f>SUM('DOE25'!H179:H180)</f>
        <v>0</v>
      </c>
      <c r="F96" s="95">
        <f>SUM('DOE25'!I179:I180)</f>
        <v>0</v>
      </c>
      <c r="G96" s="95">
        <f>SUM('DOE25'!J179:J180)</f>
        <v>0</v>
      </c>
    </row>
    <row r="97" spans="1:7" x14ac:dyDescent="0.2">
      <c r="A97" t="s">
        <v>759</v>
      </c>
      <c r="B97" s="32" t="s">
        <v>189</v>
      </c>
      <c r="C97" s="95">
        <f>'DOE25'!F181</f>
        <v>0</v>
      </c>
      <c r="D97" s="95">
        <f>'DOE25'!G181</f>
        <v>0</v>
      </c>
      <c r="E97" s="95">
        <f>'DOE25'!H181</f>
        <v>0</v>
      </c>
      <c r="F97" s="24" t="s">
        <v>289</v>
      </c>
      <c r="G97" s="95">
        <f>'DOE25'!J181</f>
        <v>0</v>
      </c>
    </row>
    <row r="98" spans="1:7" x14ac:dyDescent="0.2">
      <c r="A98" t="s">
        <v>760</v>
      </c>
      <c r="B98" s="32">
        <v>5251</v>
      </c>
      <c r="C98" s="95">
        <f>'DOE25'!F184</f>
        <v>0</v>
      </c>
      <c r="D98" s="95">
        <f>'DOE25'!G184</f>
        <v>0</v>
      </c>
      <c r="E98" s="95">
        <f>'DOE25'!H184</f>
        <v>0</v>
      </c>
      <c r="F98" s="95">
        <f>'DOE25'!I184</f>
        <v>0</v>
      </c>
      <c r="G98" s="24" t="s">
        <v>289</v>
      </c>
    </row>
    <row r="99" spans="1:7" x14ac:dyDescent="0.2">
      <c r="A99" t="s">
        <v>761</v>
      </c>
      <c r="B99" s="32" t="s">
        <v>190</v>
      </c>
      <c r="C99" s="95">
        <f>SUM('DOE25'!F185:F186)</f>
        <v>0</v>
      </c>
      <c r="D99" s="95">
        <f>SUM('DOE25'!G185:G186)</f>
        <v>0</v>
      </c>
      <c r="E99" s="95">
        <f>SUM('DOE25'!H185:H186)</f>
        <v>0</v>
      </c>
      <c r="F99" s="95">
        <f>SUM('DOE25'!I185:I186)</f>
        <v>0</v>
      </c>
      <c r="G99" s="24" t="s">
        <v>289</v>
      </c>
    </row>
    <row r="100" spans="1:7" x14ac:dyDescent="0.2">
      <c r="A100" t="s">
        <v>762</v>
      </c>
      <c r="B100" s="32" t="s">
        <v>191</v>
      </c>
      <c r="C100" s="95">
        <f>'DOE25'!F188</f>
        <v>0</v>
      </c>
      <c r="D100" s="95">
        <f>'DOE25'!G188</f>
        <v>0</v>
      </c>
      <c r="E100" s="95">
        <f>'DOE25'!H188</f>
        <v>0</v>
      </c>
      <c r="F100" s="95">
        <f>'DOE25'!I188</f>
        <v>0</v>
      </c>
      <c r="G100" s="24" t="s">
        <v>289</v>
      </c>
    </row>
    <row r="101" spans="1:7" ht="12" thickBot="1" x14ac:dyDescent="0.25">
      <c r="A101" t="s">
        <v>763</v>
      </c>
      <c r="B101" s="32" t="s">
        <v>192</v>
      </c>
      <c r="C101" s="95">
        <f>SUM('DOE25'!F189:F190)</f>
        <v>0</v>
      </c>
      <c r="D101" s="95">
        <f>SUM('DOE25'!G189:G190)</f>
        <v>0</v>
      </c>
      <c r="E101" s="95">
        <f>SUM('DOE25'!H189:H190)</f>
        <v>0</v>
      </c>
      <c r="F101" s="95">
        <f>SUM('DOE25'!I189:I190)</f>
        <v>0</v>
      </c>
      <c r="G101" s="24" t="s">
        <v>289</v>
      </c>
    </row>
    <row r="102" spans="1:7" ht="12.75" thickTop="1" thickBot="1" x14ac:dyDescent="0.25">
      <c r="A102" s="33" t="s">
        <v>764</v>
      </c>
      <c r="C102" s="86">
        <f>SUM(C92:C101)</f>
        <v>0</v>
      </c>
      <c r="D102" s="86">
        <f>SUM(D92:D101)</f>
        <v>4306</v>
      </c>
      <c r="E102" s="86">
        <f>SUM(E92:E101)</f>
        <v>0</v>
      </c>
      <c r="F102" s="86">
        <f>SUM(F92:F101)</f>
        <v>0</v>
      </c>
      <c r="G102" s="86">
        <f>SUM(G92:G101)</f>
        <v>501328.04</v>
      </c>
    </row>
    <row r="103" spans="1:7" ht="12.75" thickTop="1" thickBot="1" x14ac:dyDescent="0.25">
      <c r="A103" s="33" t="s">
        <v>765</v>
      </c>
      <c r="C103" s="86">
        <f>C62+C80+C90+C102</f>
        <v>17909583.780000001</v>
      </c>
      <c r="D103" s="86">
        <f>D62+D80+D90+D102</f>
        <v>520555.77</v>
      </c>
      <c r="E103" s="86">
        <f>E62+E80+E90+E102</f>
        <v>1049635.0799999998</v>
      </c>
      <c r="F103" s="86">
        <f>F62+F80+F90+F102</f>
        <v>0</v>
      </c>
      <c r="G103" s="86">
        <f>G62+G80+G102</f>
        <v>512894.57999999996</v>
      </c>
    </row>
    <row r="104" spans="1:7" ht="12" thickTop="1" x14ac:dyDescent="0.2"/>
    <row r="105" spans="1:7" x14ac:dyDescent="0.2">
      <c r="B105" s="3"/>
      <c r="C105" s="16" t="s">
        <v>281</v>
      </c>
      <c r="D105" s="16" t="s">
        <v>282</v>
      </c>
      <c r="E105" s="16" t="s">
        <v>193</v>
      </c>
      <c r="F105" s="16" t="s">
        <v>284</v>
      </c>
      <c r="G105" s="16" t="s">
        <v>285</v>
      </c>
    </row>
    <row r="106" spans="1:7" x14ac:dyDescent="0.2">
      <c r="A106" s="29" t="s">
        <v>194</v>
      </c>
      <c r="B106" s="127"/>
      <c r="C106" s="24" t="s">
        <v>289</v>
      </c>
      <c r="D106" s="24" t="s">
        <v>289</v>
      </c>
      <c r="E106" s="24" t="s">
        <v>289</v>
      </c>
      <c r="F106" s="24" t="s">
        <v>289</v>
      </c>
      <c r="G106" s="24" t="s">
        <v>289</v>
      </c>
    </row>
    <row r="107" spans="1:7" x14ac:dyDescent="0.2">
      <c r="A107" s="128" t="s">
        <v>195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t="s">
        <v>196</v>
      </c>
      <c r="B108" s="32" t="s">
        <v>197</v>
      </c>
      <c r="C108" s="95">
        <f>('DOE25'!L196)+('DOE25'!L214)+('DOE25'!L232)</f>
        <v>6432703.2200000007</v>
      </c>
      <c r="D108" s="24" t="s">
        <v>289</v>
      </c>
      <c r="E108" s="95">
        <f>('DOE25'!L275)+('DOE25'!L294)+('DOE25'!L313)</f>
        <v>58298.96</v>
      </c>
      <c r="F108" s="24" t="s">
        <v>289</v>
      </c>
      <c r="G108" s="24" t="s">
        <v>289</v>
      </c>
    </row>
    <row r="109" spans="1:7" x14ac:dyDescent="0.2">
      <c r="A109" t="s">
        <v>198</v>
      </c>
      <c r="B109" s="32" t="s">
        <v>199</v>
      </c>
      <c r="C109" s="95">
        <f>('DOE25'!L197)+('DOE25'!L215)+('DOE25'!L233)</f>
        <v>2242583.0700000003</v>
      </c>
      <c r="D109" s="24" t="s">
        <v>289</v>
      </c>
      <c r="E109" s="95">
        <f>('DOE25'!L276)+('DOE25'!L295)+('DOE25'!L314)</f>
        <v>413298.05</v>
      </c>
      <c r="F109" s="24" t="s">
        <v>289</v>
      </c>
      <c r="G109" s="24" t="s">
        <v>289</v>
      </c>
    </row>
    <row r="110" spans="1:7" x14ac:dyDescent="0.2">
      <c r="A110" t="s">
        <v>200</v>
      </c>
      <c r="B110" s="32" t="s">
        <v>165</v>
      </c>
      <c r="C110" s="95">
        <f>('DOE25'!L198)+('DOE25'!L216)+('DOE25'!L234)</f>
        <v>506588.06</v>
      </c>
      <c r="D110" s="24" t="s">
        <v>289</v>
      </c>
      <c r="E110" s="95">
        <f>('DOE25'!L277)+('DOE25'!L296)+('DOE25'!L315)</f>
        <v>152837.22</v>
      </c>
      <c r="F110" s="24" t="s">
        <v>289</v>
      </c>
      <c r="G110" s="24" t="s">
        <v>289</v>
      </c>
    </row>
    <row r="111" spans="1:7" x14ac:dyDescent="0.2">
      <c r="A111" t="s">
        <v>201</v>
      </c>
      <c r="B111" s="32" t="s">
        <v>167</v>
      </c>
      <c r="C111" s="95">
        <f>('DOE25'!L199)+('DOE25'!L217)+('DOE25'!L235)</f>
        <v>491456.54000000004</v>
      </c>
      <c r="D111" s="24" t="s">
        <v>289</v>
      </c>
      <c r="E111" s="95">
        <f>+('DOE25'!L278)+('DOE25'!L297)+('DOE25'!L316)</f>
        <v>1761.28</v>
      </c>
      <c r="F111" s="24" t="s">
        <v>289</v>
      </c>
      <c r="G111" s="24" t="s">
        <v>289</v>
      </c>
    </row>
    <row r="112" spans="1:7" x14ac:dyDescent="0.2">
      <c r="A112" t="s">
        <v>202</v>
      </c>
      <c r="B112" s="32" t="s">
        <v>169</v>
      </c>
      <c r="C112" s="95">
        <f>'DOE25'!L249</f>
        <v>0</v>
      </c>
      <c r="D112" s="24" t="s">
        <v>289</v>
      </c>
      <c r="E112" s="95">
        <f>+'DOE25'!L331</f>
        <v>0</v>
      </c>
      <c r="F112" s="24" t="s">
        <v>289</v>
      </c>
      <c r="G112" s="24" t="s">
        <v>289</v>
      </c>
    </row>
    <row r="113" spans="1:7" ht="12" thickBot="1" x14ac:dyDescent="0.25">
      <c r="A113" t="s">
        <v>203</v>
      </c>
      <c r="B113" s="32" t="s">
        <v>204</v>
      </c>
      <c r="C113" s="95">
        <f>SUM('DOE25'!L250:L252)</f>
        <v>0</v>
      </c>
      <c r="D113" s="24" t="s">
        <v>289</v>
      </c>
      <c r="E113" s="95">
        <f>+ SUM('DOE25'!L332:L334)</f>
        <v>0</v>
      </c>
      <c r="F113" s="24" t="s">
        <v>289</v>
      </c>
      <c r="G113" s="24" t="s">
        <v>289</v>
      </c>
    </row>
    <row r="114" spans="1:7" ht="12.75" thickTop="1" thickBot="1" x14ac:dyDescent="0.25">
      <c r="A114" s="33" t="s">
        <v>205</v>
      </c>
      <c r="C114" s="86">
        <f>SUM(C108:C113)</f>
        <v>9673330.8900000006</v>
      </c>
      <c r="D114" s="86">
        <f>SUM(D108:D113)</f>
        <v>0</v>
      </c>
      <c r="E114" s="86">
        <f>SUM(E108:E113)</f>
        <v>626195.51</v>
      </c>
      <c r="F114" s="86">
        <f>SUM(F108:F113)</f>
        <v>0</v>
      </c>
      <c r="G114" s="86">
        <f>SUM(G108:G113)</f>
        <v>0</v>
      </c>
    </row>
    <row r="115" spans="1:7" ht="12" thickTop="1" x14ac:dyDescent="0.2">
      <c r="C115" s="24" t="s">
        <v>289</v>
      </c>
      <c r="D115" s="24" t="s">
        <v>289</v>
      </c>
      <c r="E115" s="24" t="s">
        <v>289</v>
      </c>
      <c r="F115" s="24" t="s">
        <v>289</v>
      </c>
      <c r="G115" s="24" t="s">
        <v>289</v>
      </c>
    </row>
    <row r="116" spans="1:7" x14ac:dyDescent="0.2">
      <c r="A116" s="33" t="s">
        <v>343</v>
      </c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t="s">
        <v>206</v>
      </c>
      <c r="B117" s="32" t="s">
        <v>207</v>
      </c>
      <c r="C117" s="95">
        <f>('DOE25'!L201)+('DOE25'!L219)+('DOE25'!L237)</f>
        <v>1291861.93</v>
      </c>
      <c r="D117" s="24" t="s">
        <v>289</v>
      </c>
      <c r="E117" s="95">
        <f>+('DOE25'!L280)+('DOE25'!L299)+('DOE25'!L318)</f>
        <v>178227.18</v>
      </c>
      <c r="F117" s="24" t="s">
        <v>289</v>
      </c>
      <c r="G117" s="24" t="s">
        <v>289</v>
      </c>
    </row>
    <row r="118" spans="1:7" x14ac:dyDescent="0.2">
      <c r="A118" t="s">
        <v>208</v>
      </c>
      <c r="B118" s="32" t="s">
        <v>209</v>
      </c>
      <c r="C118" s="95">
        <f>('DOE25'!L202)+('DOE25'!L220)+('DOE25'!L238)</f>
        <v>524727.37</v>
      </c>
      <c r="D118" s="24" t="s">
        <v>289</v>
      </c>
      <c r="E118" s="95">
        <f>+('DOE25'!L281)+('DOE25'!L300)+('DOE25'!L319)</f>
        <v>105458.82999999999</v>
      </c>
      <c r="F118" s="24" t="s">
        <v>289</v>
      </c>
      <c r="G118" s="24" t="s">
        <v>289</v>
      </c>
    </row>
    <row r="119" spans="1:7" x14ac:dyDescent="0.2">
      <c r="A119" t="s">
        <v>210</v>
      </c>
      <c r="B119" s="32" t="s">
        <v>211</v>
      </c>
      <c r="C119" s="95">
        <f>('DOE25'!L203)+('DOE25'!L221)+('DOE25'!L239)</f>
        <v>1074699.0699999998</v>
      </c>
      <c r="D119" s="24" t="s">
        <v>289</v>
      </c>
      <c r="E119" s="95">
        <f>+('DOE25'!L282)+('DOE25'!L301)+('DOE25'!L320)</f>
        <v>83996</v>
      </c>
      <c r="F119" s="24" t="s">
        <v>289</v>
      </c>
      <c r="G119" s="24" t="s">
        <v>289</v>
      </c>
    </row>
    <row r="120" spans="1:7" x14ac:dyDescent="0.2">
      <c r="A120" t="s">
        <v>212</v>
      </c>
      <c r="B120" s="32" t="s">
        <v>213</v>
      </c>
      <c r="C120" s="95">
        <f>('DOE25'!L204)+('DOE25'!L222)+('DOE25'!L240)</f>
        <v>1163211.96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214</v>
      </c>
      <c r="B121" s="32" t="s">
        <v>215</v>
      </c>
      <c r="C121" s="95">
        <f>('DOE25'!L205)+('DOE25'!L223)+('DOE25'!L241)</f>
        <v>218895.56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216</v>
      </c>
      <c r="B122" s="32" t="s">
        <v>217</v>
      </c>
      <c r="C122" s="95">
        <f>('DOE25'!L206)+('DOE25'!L224)+('DOE25'!L242)</f>
        <v>2026070.46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218</v>
      </c>
      <c r="B123" s="32" t="s">
        <v>219</v>
      </c>
      <c r="C123" s="95">
        <f>('DOE25'!L207)+('DOE25'!L225)+('DOE25'!L243+'DOE25'!L253)</f>
        <v>1038195.8700000001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220</v>
      </c>
      <c r="B124" s="32" t="s">
        <v>221</v>
      </c>
      <c r="C124" s="95">
        <f>('DOE25'!L208)+('DOE25'!L226)+('DOE25'!L244)</f>
        <v>0</v>
      </c>
      <c r="D124" s="24" t="s">
        <v>289</v>
      </c>
      <c r="E124" s="95">
        <f>+('DOE25'!L287)+('DOE25'!L306)+('DOE25'!L325)</f>
        <v>10404.129999999999</v>
      </c>
      <c r="F124" s="24" t="s">
        <v>289</v>
      </c>
      <c r="G124" s="24" t="s">
        <v>289</v>
      </c>
    </row>
    <row r="125" spans="1:7" x14ac:dyDescent="0.2">
      <c r="A125" t="s">
        <v>222</v>
      </c>
      <c r="B125" s="32" t="s">
        <v>223</v>
      </c>
      <c r="C125" s="24" t="s">
        <v>289</v>
      </c>
      <c r="D125" s="24" t="s">
        <v>289</v>
      </c>
      <c r="E125" s="24" t="s">
        <v>289</v>
      </c>
      <c r="F125" s="24" t="s">
        <v>289</v>
      </c>
      <c r="G125" s="24" t="s">
        <v>289</v>
      </c>
    </row>
    <row r="126" spans="1:7" ht="12" thickBot="1" x14ac:dyDescent="0.25">
      <c r="A126" t="s">
        <v>224</v>
      </c>
      <c r="B126" s="32" t="s">
        <v>225</v>
      </c>
      <c r="C126" s="24" t="s">
        <v>289</v>
      </c>
      <c r="D126" s="95">
        <f>('DOE25'!L357)+('DOE25'!L358)+('DOE25'!L359)</f>
        <v>544862.05000000005</v>
      </c>
      <c r="E126" s="24" t="s">
        <v>289</v>
      </c>
      <c r="F126" s="24" t="s">
        <v>289</v>
      </c>
      <c r="G126" s="24" t="s">
        <v>289</v>
      </c>
    </row>
    <row r="127" spans="1:7" ht="12.75" thickTop="1" thickBot="1" x14ac:dyDescent="0.25">
      <c r="A127" s="33" t="s">
        <v>226</v>
      </c>
      <c r="C127" s="86">
        <f>SUM(C117:C126)</f>
        <v>7337662.2199999997</v>
      </c>
      <c r="D127" s="86">
        <f>SUM(D117:D126)</f>
        <v>544862.05000000005</v>
      </c>
      <c r="E127" s="86">
        <f>SUM(E117:E126)</f>
        <v>378086.14</v>
      </c>
      <c r="F127" s="86">
        <f>SUM(F117:F126)</f>
        <v>0</v>
      </c>
      <c r="G127" s="86">
        <f>SUM(G117:G126)</f>
        <v>0</v>
      </c>
    </row>
    <row r="128" spans="1:7" ht="12" thickTop="1" x14ac:dyDescent="0.2">
      <c r="A128" s="33" t="s">
        <v>363</v>
      </c>
      <c r="C128" s="24" t="s">
        <v>289</v>
      </c>
      <c r="D128" s="24" t="s">
        <v>289</v>
      </c>
      <c r="E128" s="24" t="s">
        <v>289</v>
      </c>
      <c r="F128" s="24" t="s">
        <v>289</v>
      </c>
      <c r="G128" s="24" t="s">
        <v>289</v>
      </c>
    </row>
    <row r="129" spans="1:7" x14ac:dyDescent="0.2">
      <c r="A129" t="s">
        <v>227</v>
      </c>
      <c r="B129" s="32" t="s">
        <v>228</v>
      </c>
      <c r="C129" s="95">
        <f>'DOE25'!L254</f>
        <v>734.25</v>
      </c>
      <c r="D129" s="24" t="s">
        <v>289</v>
      </c>
      <c r="E129" s="129">
        <f>'DOE25'!L335</f>
        <v>0</v>
      </c>
      <c r="F129" s="129">
        <f>SUM('DOE25'!L373:'DOE25'!L379)</f>
        <v>0</v>
      </c>
      <c r="G129" s="24" t="s">
        <v>289</v>
      </c>
    </row>
    <row r="130" spans="1:7" x14ac:dyDescent="0.2">
      <c r="A130" t="s">
        <v>229</v>
      </c>
      <c r="B130" s="32">
        <v>5110</v>
      </c>
      <c r="C130" s="95">
        <f>'DOE25'!L259</f>
        <v>175000</v>
      </c>
      <c r="D130" s="24" t="s">
        <v>289</v>
      </c>
      <c r="E130" s="129">
        <f>'DOE25'!L340</f>
        <v>0</v>
      </c>
      <c r="F130" s="24" t="s">
        <v>289</v>
      </c>
      <c r="G130" s="24" t="s">
        <v>289</v>
      </c>
    </row>
    <row r="131" spans="1:7" x14ac:dyDescent="0.2">
      <c r="A131" t="s">
        <v>230</v>
      </c>
      <c r="B131" s="32">
        <v>5120</v>
      </c>
      <c r="C131" s="95">
        <f>'DOE25'!L260</f>
        <v>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s="33" t="s">
        <v>231</v>
      </c>
      <c r="C132" s="24" t="s">
        <v>289</v>
      </c>
      <c r="D132" s="24" t="s">
        <v>289</v>
      </c>
      <c r="E132" s="24" t="s">
        <v>289</v>
      </c>
      <c r="F132" s="24" t="s">
        <v>289</v>
      </c>
      <c r="G132" s="24" t="s">
        <v>289</v>
      </c>
    </row>
    <row r="133" spans="1:7" x14ac:dyDescent="0.2">
      <c r="A133" t="s">
        <v>232</v>
      </c>
      <c r="B133" s="32">
        <v>5210</v>
      </c>
      <c r="C133" s="24" t="s">
        <v>289</v>
      </c>
      <c r="D133" s="95">
        <f>'DOE25'!K360</f>
        <v>0</v>
      </c>
      <c r="E133" s="95">
        <f>'DOE25'!L343</f>
        <v>41873.75</v>
      </c>
      <c r="F133" s="95">
        <f>'DOE25'!K380</f>
        <v>0</v>
      </c>
      <c r="G133" s="95">
        <f>'DOE25'!K433</f>
        <v>0</v>
      </c>
    </row>
    <row r="134" spans="1:7" x14ac:dyDescent="0.2">
      <c r="A134" t="s">
        <v>233</v>
      </c>
      <c r="B134" s="32" t="s">
        <v>234</v>
      </c>
      <c r="C134" s="95">
        <f>'DOE25'!L262</f>
        <v>4306</v>
      </c>
      <c r="D134" s="24" t="s">
        <v>289</v>
      </c>
      <c r="E134" s="129">
        <f>'DOE25'!L344</f>
        <v>0</v>
      </c>
      <c r="F134" s="24" t="s">
        <v>289</v>
      </c>
      <c r="G134" s="24" t="s">
        <v>289</v>
      </c>
    </row>
    <row r="135" spans="1:7" x14ac:dyDescent="0.2">
      <c r="A135" t="s">
        <v>235</v>
      </c>
      <c r="B135" s="32" t="s">
        <v>236</v>
      </c>
      <c r="C135" s="95">
        <f>'DOE25'!L263</f>
        <v>0</v>
      </c>
      <c r="D135" s="24" t="s">
        <v>289</v>
      </c>
      <c r="E135" s="24" t="s">
        <v>289</v>
      </c>
      <c r="F135" s="24" t="s">
        <v>289</v>
      </c>
      <c r="G135" s="24" t="s">
        <v>289</v>
      </c>
    </row>
    <row r="136" spans="1:7" x14ac:dyDescent="0.2">
      <c r="A136" t="s">
        <v>237</v>
      </c>
      <c r="B136" s="32" t="s">
        <v>189</v>
      </c>
      <c r="C136" s="95">
        <f>'DOE25'!L264</f>
        <v>0</v>
      </c>
      <c r="D136" s="24" t="s">
        <v>289</v>
      </c>
      <c r="E136" s="129">
        <f>'DOE25'!L345</f>
        <v>0</v>
      </c>
      <c r="F136" s="24" t="s">
        <v>289</v>
      </c>
      <c r="G136" s="24" t="s">
        <v>289</v>
      </c>
    </row>
    <row r="137" spans="1:7" x14ac:dyDescent="0.2">
      <c r="A137" t="s">
        <v>238</v>
      </c>
      <c r="B137" s="32">
        <v>5251</v>
      </c>
      <c r="C137" s="95">
        <f>'DOE25'!L392</f>
        <v>376591.74</v>
      </c>
      <c r="D137" s="24" t="s">
        <v>289</v>
      </c>
      <c r="E137" s="24" t="s">
        <v>289</v>
      </c>
      <c r="F137" s="24" t="s">
        <v>289</v>
      </c>
      <c r="G137" s="24" t="s">
        <v>289</v>
      </c>
    </row>
    <row r="138" spans="1:7" x14ac:dyDescent="0.2">
      <c r="A138" t="s">
        <v>239</v>
      </c>
      <c r="B138" s="32">
        <v>5252</v>
      </c>
      <c r="C138" s="95">
        <f>'DOE25'!L400</f>
        <v>136302.84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240</v>
      </c>
      <c r="B139" s="32">
        <v>5253</v>
      </c>
      <c r="C139" s="95">
        <f>'DOE25'!L406</f>
        <v>0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766</v>
      </c>
      <c r="B140" s="32">
        <v>5254</v>
      </c>
      <c r="C140" s="95">
        <f>('DOE25'!L265+'DOE25'!K346) - (C137+C138+C139)</f>
        <v>-11566.539999999979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241</v>
      </c>
      <c r="B141" s="32">
        <v>5310</v>
      </c>
      <c r="C141" s="129">
        <f>'DOE25'!L267</f>
        <v>88944</v>
      </c>
      <c r="D141" s="24" t="s">
        <v>289</v>
      </c>
      <c r="E141" s="129">
        <f>'DOE25'!L348</f>
        <v>0</v>
      </c>
      <c r="F141" s="24" t="s">
        <v>289</v>
      </c>
      <c r="G141" s="24" t="s">
        <v>289</v>
      </c>
    </row>
    <row r="142" spans="1:7" ht="12" thickBot="1" x14ac:dyDescent="0.25">
      <c r="A142" t="s">
        <v>242</v>
      </c>
      <c r="B142" s="32">
        <v>5390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s="33" t="s">
        <v>243</v>
      </c>
      <c r="C143" s="141">
        <f>SUM(C129:C142)</f>
        <v>770312.29</v>
      </c>
      <c r="D143" s="141">
        <f>SUM(D129:D142)</f>
        <v>0</v>
      </c>
      <c r="E143" s="141">
        <f>SUM(E129:E142)</f>
        <v>41873.75</v>
      </c>
      <c r="F143" s="141">
        <f>SUM(F129:F142)</f>
        <v>0</v>
      </c>
      <c r="G143" s="141">
        <f>SUM(G129:G142)</f>
        <v>0</v>
      </c>
    </row>
    <row r="144" spans="1:7" ht="12.75" thickTop="1" thickBot="1" x14ac:dyDescent="0.25">
      <c r="A144" s="33" t="s">
        <v>244</v>
      </c>
      <c r="C144" s="86">
        <f>(C114+C127+C143)</f>
        <v>17781305.399999999</v>
      </c>
      <c r="D144" s="86">
        <f>(D114+D127+D143)</f>
        <v>544862.05000000005</v>
      </c>
      <c r="E144" s="86">
        <f>(E114+E127+E143)</f>
        <v>1046155.4</v>
      </c>
      <c r="F144" s="86">
        <f>(F114+F127+F143)</f>
        <v>0</v>
      </c>
      <c r="G144" s="86">
        <f>(G114+G127+G143)</f>
        <v>0</v>
      </c>
    </row>
    <row r="145" spans="1:9" ht="12" thickTop="1" x14ac:dyDescent="0.2">
      <c r="A145" s="33"/>
    </row>
    <row r="147" spans="1:9" x14ac:dyDescent="0.2">
      <c r="A147" s="135" t="s">
        <v>245</v>
      </c>
      <c r="B147" s="132"/>
      <c r="C147" s="115"/>
      <c r="D147" s="116"/>
      <c r="E147" s="116"/>
      <c r="F147" s="116"/>
      <c r="G147" s="116"/>
    </row>
    <row r="148" spans="1:9" x14ac:dyDescent="0.2">
      <c r="A148" s="136" t="s">
        <v>20</v>
      </c>
      <c r="B148" s="32" t="s">
        <v>265</v>
      </c>
      <c r="C148" s="32" t="s">
        <v>266</v>
      </c>
      <c r="D148" s="32" t="s">
        <v>267</v>
      </c>
      <c r="E148" s="32" t="s">
        <v>268</v>
      </c>
      <c r="F148" s="32" t="s">
        <v>269</v>
      </c>
      <c r="G148" s="32" t="s">
        <v>270</v>
      </c>
      <c r="H148" s="116"/>
      <c r="I148" s="116"/>
    </row>
    <row r="149" spans="1:9" x14ac:dyDescent="0.2">
      <c r="A149" s="135" t="s">
        <v>21</v>
      </c>
      <c r="B149" s="32" t="s">
        <v>22</v>
      </c>
      <c r="C149" s="32" t="s">
        <v>23</v>
      </c>
      <c r="D149" s="32" t="s">
        <v>24</v>
      </c>
      <c r="E149" s="32" t="s">
        <v>25</v>
      </c>
      <c r="F149" s="32" t="s">
        <v>26</v>
      </c>
      <c r="G149" s="32" t="s">
        <v>341</v>
      </c>
    </row>
    <row r="150" spans="1:9" x14ac:dyDescent="0.2">
      <c r="A150" s="136" t="s">
        <v>27</v>
      </c>
      <c r="B150" s="153">
        <f>'DOE25'!F489</f>
        <v>12</v>
      </c>
      <c r="C150" s="153">
        <f>'DOE25'!G489</f>
        <v>0</v>
      </c>
      <c r="D150" s="153">
        <f>'DOE25'!H489</f>
        <v>0</v>
      </c>
      <c r="E150" s="153">
        <f>'DOE25'!I489</f>
        <v>0</v>
      </c>
      <c r="F150" s="153">
        <f>'DOE25'!J489</f>
        <v>0</v>
      </c>
      <c r="G150" s="24" t="s">
        <v>289</v>
      </c>
    </row>
    <row r="151" spans="1:9" x14ac:dyDescent="0.2">
      <c r="A151" s="136" t="s">
        <v>28</v>
      </c>
      <c r="B151" s="152" t="str">
        <f>'DOE25'!F490</f>
        <v>10/00</v>
      </c>
      <c r="C151" s="152">
        <f>'DOE25'!G490</f>
        <v>0</v>
      </c>
      <c r="D151" s="152">
        <f>'DOE25'!H490</f>
        <v>0</v>
      </c>
      <c r="E151" s="152">
        <f>'DOE25'!I490</f>
        <v>0</v>
      </c>
      <c r="F151" s="152">
        <f>'DOE25'!J490</f>
        <v>0</v>
      </c>
      <c r="G151" s="24" t="s">
        <v>289</v>
      </c>
    </row>
    <row r="152" spans="1:9" x14ac:dyDescent="0.2">
      <c r="A152" s="136" t="s">
        <v>29</v>
      </c>
      <c r="B152" s="152" t="str">
        <f>'DOE25'!F491</f>
        <v>10/2012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30</v>
      </c>
      <c r="B153" s="137">
        <f>'DOE25'!F492</f>
        <v>2100000</v>
      </c>
      <c r="C153" s="137">
        <f>'DOE25'!G492</f>
        <v>0</v>
      </c>
      <c r="D153" s="137">
        <f>'DOE25'!H492</f>
        <v>0</v>
      </c>
      <c r="E153" s="137">
        <f>'DOE25'!I492</f>
        <v>0</v>
      </c>
      <c r="F153" s="137">
        <f>'DOE25'!J492</f>
        <v>0</v>
      </c>
      <c r="G153" s="24" t="s">
        <v>289</v>
      </c>
    </row>
    <row r="154" spans="1:9" x14ac:dyDescent="0.2">
      <c r="A154" s="136" t="s">
        <v>31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22" t="s">
        <v>32</v>
      </c>
      <c r="B155" s="137">
        <f>'DOE25'!F494</f>
        <v>175000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138">
        <f>SUM(B155:F155)</f>
        <v>175000</v>
      </c>
    </row>
    <row r="156" spans="1:9" x14ac:dyDescent="0.2">
      <c r="A156" s="22" t="s">
        <v>33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 t="shared" ref="G156:G163" si="0">SUM(B156:F156)</f>
        <v>0</v>
      </c>
    </row>
    <row r="157" spans="1:9" x14ac:dyDescent="0.2">
      <c r="A157" s="22" t="s">
        <v>34</v>
      </c>
      <c r="B157" s="137">
        <f>'DOE25'!F496</f>
        <v>175000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si="0"/>
        <v>175000</v>
      </c>
    </row>
    <row r="158" spans="1:9" x14ac:dyDescent="0.2">
      <c r="A158" s="22" t="s">
        <v>35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 x14ac:dyDescent="0.2">
      <c r="A159" s="22" t="s">
        <v>36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 x14ac:dyDescent="0.2">
      <c r="A160" s="22" t="s">
        <v>37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 x14ac:dyDescent="0.2">
      <c r="A161" s="22" t="s">
        <v>38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 x14ac:dyDescent="0.2">
      <c r="A162" s="22" t="s">
        <v>39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246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</sheetData>
  <sheetProtection password="BB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2012-2013</oddHeader>
    <oddFooter>&amp;CPage &amp;P&amp;R&amp;D&amp;T</oddFooter>
  </headerFooter>
  <rowBreaks count="3" manualBreakCount="3">
    <brk id="81" max="16383" man="1"/>
    <brk id="104" max="16383" man="1"/>
    <brk id="145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topLeftCell="A11" workbookViewId="0">
      <selection activeCell="C37" sqref="C37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3" t="s">
        <v>740</v>
      </c>
      <c r="B1" s="283"/>
      <c r="C1" s="283"/>
      <c r="D1" s="283"/>
    </row>
    <row r="2" spans="1:4" x14ac:dyDescent="0.2">
      <c r="A2" s="187" t="s">
        <v>717</v>
      </c>
      <c r="B2" s="186" t="str">
        <f>'DOE25'!A2</f>
        <v>White Mtns Reg.</v>
      </c>
    </row>
    <row r="3" spans="1:4" x14ac:dyDescent="0.2">
      <c r="B3" s="188" t="s">
        <v>904</v>
      </c>
    </row>
    <row r="4" spans="1:4" x14ac:dyDescent="0.2">
      <c r="B4" t="s">
        <v>61</v>
      </c>
      <c r="C4" s="179">
        <f>IF('DOE25'!F664+'DOE25'!F669=0,0,ROUND('DOE25'!F671,0))</f>
        <v>13461</v>
      </c>
    </row>
    <row r="5" spans="1:4" x14ac:dyDescent="0.2">
      <c r="B5" t="s">
        <v>704</v>
      </c>
      <c r="C5" s="179">
        <f>IF('DOE25'!G664+'DOE25'!G669=0,0,ROUND('DOE25'!G671,0))</f>
        <v>0</v>
      </c>
    </row>
    <row r="6" spans="1:4" x14ac:dyDescent="0.2">
      <c r="B6" t="s">
        <v>62</v>
      </c>
      <c r="C6" s="179">
        <f>IF('DOE25'!H664+'DOE25'!H669=0,0,ROUND('DOE25'!H671,0))</f>
        <v>15417</v>
      </c>
    </row>
    <row r="7" spans="1:4" x14ac:dyDescent="0.2">
      <c r="B7" t="s">
        <v>705</v>
      </c>
      <c r="C7" s="179">
        <f>IF('DOE25'!I664+'DOE25'!I669=0,0,ROUND('DOE25'!I671,0))</f>
        <v>14109</v>
      </c>
    </row>
    <row r="9" spans="1:4" x14ac:dyDescent="0.2">
      <c r="A9" s="187" t="s">
        <v>94</v>
      </c>
      <c r="B9" s="188" t="s">
        <v>905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ROUND('DOE25'!L196+'DOE25'!L214+'DOE25'!L232+'DOE25'!L275+'DOE25'!L294+'DOE25'!L313,0)</f>
        <v>6491002</v>
      </c>
      <c r="D10" s="182">
        <f>ROUND((C10/$C$28)*100,1)</f>
        <v>35.200000000000003</v>
      </c>
    </row>
    <row r="11" spans="1:4" x14ac:dyDescent="0.2">
      <c r="A11">
        <v>1200</v>
      </c>
      <c r="B11" t="s">
        <v>707</v>
      </c>
      <c r="C11" s="179">
        <f>ROUND('DOE25'!L197+'DOE25'!L215+'DOE25'!L233+'DOE25'!L276+'DOE25'!L295+'DOE25'!L314,0)</f>
        <v>2655881</v>
      </c>
      <c r="D11" s="182">
        <f>ROUND((C11/$C$28)*100,1)</f>
        <v>14.4</v>
      </c>
    </row>
    <row r="12" spans="1:4" x14ac:dyDescent="0.2">
      <c r="A12">
        <v>1300</v>
      </c>
      <c r="B12" t="s">
        <v>708</v>
      </c>
      <c r="C12" s="179">
        <f>ROUND('DOE25'!L198+'DOE25'!L216+'DOE25'!L234+'DOE25'!L277+'DOE25'!L296+'DOE25'!L315,0)</f>
        <v>659425</v>
      </c>
      <c r="D12" s="182">
        <f>ROUND((C12/$C$28)*100,1)</f>
        <v>3.6</v>
      </c>
    </row>
    <row r="13" spans="1:4" x14ac:dyDescent="0.2">
      <c r="A13">
        <v>1400</v>
      </c>
      <c r="B13" t="s">
        <v>709</v>
      </c>
      <c r="C13" s="179">
        <f>ROUND('DOE25'!L199+'DOE25'!L217+'DOE25'!L235+'DOE25'!L278+'DOE25'!L297+'DOE25'!L316,0)</f>
        <v>493218</v>
      </c>
      <c r="D13" s="182">
        <f>ROUND((C13/$C$28)*100,1)</f>
        <v>2.7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ROUND('DOE25'!L201+'DOE25'!L219+'DOE25'!L237+'DOE25'!L280+'DOE25'!L299+'DOE25'!L318,0)</f>
        <v>1470089</v>
      </c>
      <c r="D15" s="182">
        <f t="shared" ref="D15:D27" si="0">ROUND((C15/$C$28)*100,1)</f>
        <v>8</v>
      </c>
    </row>
    <row r="16" spans="1:4" x14ac:dyDescent="0.2">
      <c r="A16">
        <v>2200</v>
      </c>
      <c r="B16" t="s">
        <v>711</v>
      </c>
      <c r="C16" s="179">
        <f>ROUND('DOE25'!L202+'DOE25'!L220+'DOE25'!L238+'DOE25'!L281+'DOE25'!L300+'DOE25'!L319,0)</f>
        <v>630186</v>
      </c>
      <c r="D16" s="182">
        <f t="shared" si="0"/>
        <v>3.4</v>
      </c>
    </row>
    <row r="17" spans="1:4" x14ac:dyDescent="0.2">
      <c r="A17" s="183" t="s">
        <v>727</v>
      </c>
      <c r="B17" t="s">
        <v>742</v>
      </c>
      <c r="C17" s="179">
        <f>ROUND('DOE25'!L203+'DOE25'!L208+'DOE25'!L221+'DOE25'!L226+'DOE25'!L239+'DOE25'!L244+'DOE25'!L282+'DOE25'!L287+'DOE25'!L301+'DOE25'!L306+'DOE25'!L320+'DOE25'!L325,0)</f>
        <v>1169099</v>
      </c>
      <c r="D17" s="182">
        <f t="shared" si="0"/>
        <v>6.3</v>
      </c>
    </row>
    <row r="18" spans="1:4" x14ac:dyDescent="0.2">
      <c r="A18">
        <v>2400</v>
      </c>
      <c r="B18" t="s">
        <v>715</v>
      </c>
      <c r="C18" s="179">
        <f>ROUND('DOE25'!L204+'DOE25'!L222+'DOE25'!L240+'DOE25'!L283+'DOE25'!L302+'DOE25'!L321,0)</f>
        <v>1163212</v>
      </c>
      <c r="D18" s="182">
        <f t="shared" si="0"/>
        <v>6.3</v>
      </c>
    </row>
    <row r="19" spans="1:4" x14ac:dyDescent="0.2">
      <c r="A19">
        <v>2500</v>
      </c>
      <c r="B19" t="s">
        <v>712</v>
      </c>
      <c r="C19" s="179">
        <f>ROUND('DOE25'!L205+'DOE25'!L223+'DOE25'!L241+'DOE25'!L284+'DOE25'!L303+'DOE25'!L322,0)</f>
        <v>218896</v>
      </c>
      <c r="D19" s="182">
        <f t="shared" si="0"/>
        <v>1.2</v>
      </c>
    </row>
    <row r="20" spans="1:4" x14ac:dyDescent="0.2">
      <c r="A20">
        <v>2600</v>
      </c>
      <c r="B20" t="s">
        <v>713</v>
      </c>
      <c r="C20" s="179">
        <f>ROUND('DOE25'!L206+'DOE25'!L224+'DOE25'!L242+'DOE25'!L285+'DOE25'!L304+'DOE25'!L323,0)</f>
        <v>2026070</v>
      </c>
      <c r="D20" s="182">
        <f t="shared" si="0"/>
        <v>11</v>
      </c>
    </row>
    <row r="21" spans="1:4" x14ac:dyDescent="0.2">
      <c r="A21">
        <v>2700</v>
      </c>
      <c r="B21" t="s">
        <v>714</v>
      </c>
      <c r="C21" s="179">
        <f>ROUND('DOE25'!L207+'DOE25'!L225+'DOE25'!L243+'DOE25'!L286+'DOE25'!L305+'DOE25'!L324,0)</f>
        <v>1038196</v>
      </c>
      <c r="D21" s="182">
        <f t="shared" si="0"/>
        <v>5.6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ROUND('DOE25'!L249+'DOE25'!L331,0)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ROUND('DOE25'!L250+'DOE25'!L251+'DOE25'!L252+'DOE25'!L253+'DOE25'!L332+'DOE25'!L333+'DOE25'!L334,0)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ROUND('DOE25'!L260+'DOE25'!L341,0)</f>
        <v>0</v>
      </c>
      <c r="D25" s="182">
        <f t="shared" si="0"/>
        <v>0</v>
      </c>
    </row>
    <row r="26" spans="1:4" x14ac:dyDescent="0.2">
      <c r="A26" s="183" t="s">
        <v>721</v>
      </c>
      <c r="B26" t="s">
        <v>722</v>
      </c>
      <c r="C26" s="179">
        <f>'DOE25'!L267+'DOE25'!L268+'DOE25'!L348+'DOE25'!L349</f>
        <v>88944</v>
      </c>
      <c r="D26" s="182">
        <f t="shared" si="0"/>
        <v>0.5</v>
      </c>
    </row>
    <row r="27" spans="1:4" x14ac:dyDescent="0.2">
      <c r="A27">
        <v>3100</v>
      </c>
      <c r="B27" t="s">
        <v>11</v>
      </c>
      <c r="C27" s="179">
        <f>ROUND('DOE25'!L361-'DOE25'!L360,0)-SUM('DOE25'!G96:G109)</f>
        <v>356658.18</v>
      </c>
      <c r="D27" s="182">
        <f t="shared" si="0"/>
        <v>1.9</v>
      </c>
    </row>
    <row r="28" spans="1:4" x14ac:dyDescent="0.2">
      <c r="B28" s="187" t="s">
        <v>723</v>
      </c>
      <c r="C28" s="180">
        <f>SUM(C10:C27)</f>
        <v>18460876.18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ROUND('DOE25'!L254+'DOE25'!L335+'DOE25'!L373+'DOE25'!L374+'DOE25'!L375+'DOE25'!L376+'DOE25'!L377+'DOE25'!L378+'DOE25'!L379,0)</f>
        <v>734</v>
      </c>
    </row>
    <row r="30" spans="1:4" x14ac:dyDescent="0.2">
      <c r="B30" s="187" t="s">
        <v>729</v>
      </c>
      <c r="C30" s="180">
        <f>SUM(C28:C29)</f>
        <v>18461610.18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ROUND('DOE25'!L259+'DOE25'!L340,0)</f>
        <v>175000</v>
      </c>
    </row>
    <row r="34" spans="1:4" x14ac:dyDescent="0.2">
      <c r="A34" s="187" t="s">
        <v>94</v>
      </c>
      <c r="B34" s="188" t="s">
        <v>906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ROUND('DOE25'!F59+'DOE25'!G59+'DOE25'!H59+'DOE25'!I59+'DOE25'!J59,0)</f>
        <v>7501270</v>
      </c>
      <c r="D35" s="182">
        <f t="shared" ref="D35:D40" si="1">ROUND((C35/$C$41)*100,1)</f>
        <v>38.9</v>
      </c>
    </row>
    <row r="36" spans="1:4" x14ac:dyDescent="0.2">
      <c r="B36" s="185" t="s">
        <v>743</v>
      </c>
      <c r="C36" s="179">
        <f>SUM('DOE25'!F111:J111)-SUM('DOE25'!G96:G109)+('DOE25'!F173+'DOE25'!F174+'DOE25'!I173+'DOE25'!I174)-C35</f>
        <v>899111.68999999948</v>
      </c>
      <c r="D36" s="182">
        <f t="shared" si="1"/>
        <v>4.7</v>
      </c>
    </row>
    <row r="37" spans="1:4" x14ac:dyDescent="0.2">
      <c r="A37" s="183" t="s">
        <v>851</v>
      </c>
      <c r="B37" s="185" t="s">
        <v>732</v>
      </c>
      <c r="C37" s="179">
        <f>ROUND('DOE25'!F116+'DOE25'!F117,0)</f>
        <v>9124776</v>
      </c>
      <c r="D37" s="182">
        <f t="shared" si="1"/>
        <v>47.3</v>
      </c>
    </row>
    <row r="38" spans="1:4" x14ac:dyDescent="0.2">
      <c r="A38" s="183" t="s">
        <v>738</v>
      </c>
      <c r="B38" s="185" t="s">
        <v>733</v>
      </c>
      <c r="C38" s="179">
        <f>ROUND(SUM('DOE25'!F139:J139)-SUM('DOE25'!F116:F118),0)</f>
        <v>289650</v>
      </c>
      <c r="D38" s="182">
        <f t="shared" si="1"/>
        <v>1.5</v>
      </c>
    </row>
    <row r="39" spans="1:4" x14ac:dyDescent="0.2">
      <c r="A39">
        <v>4000</v>
      </c>
      <c r="B39" s="185" t="s">
        <v>734</v>
      </c>
      <c r="C39" s="179">
        <f>ROUND('DOE25'!F168+'DOE25'!G168+'DOE25'!H168+'DOE25'!I168,0)</f>
        <v>1484024</v>
      </c>
      <c r="D39" s="182">
        <f t="shared" si="1"/>
        <v>7.7</v>
      </c>
    </row>
    <row r="40" spans="1:4" x14ac:dyDescent="0.2">
      <c r="A40" s="183" t="s">
        <v>739</v>
      </c>
      <c r="B40" s="185" t="s">
        <v>735</v>
      </c>
      <c r="C40" s="179">
        <f>ROUND(SUM('DOE25'!F188:F190)+SUM('DOE25'!G188:G190)+SUM('DOE25'!H188:H190)+SUM('DOE25'!I188:I190),0)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19298831.689999998</v>
      </c>
      <c r="D41" s="184">
        <f>SUM(D35:D40)</f>
        <v>100.10000000000001</v>
      </c>
    </row>
    <row r="42" spans="1:4" x14ac:dyDescent="0.2">
      <c r="A42" s="183" t="s">
        <v>741</v>
      </c>
      <c r="B42" s="185" t="s">
        <v>737</v>
      </c>
      <c r="C42" s="179">
        <f>ROUND('DOE25'!F172+'DOE25'!I172+'DOE25'!F175+'DOE25'!I175,0)</f>
        <v>0</v>
      </c>
    </row>
  </sheetData>
  <sheetProtection password="BB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pane="bottomLeft" activeCell="C14" sqref="C14:M1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4" t="s">
        <v>770</v>
      </c>
      <c r="B1" s="295"/>
      <c r="C1" s="295"/>
      <c r="D1" s="295"/>
      <c r="E1" s="295"/>
      <c r="F1" s="295"/>
      <c r="G1" s="295"/>
      <c r="H1" s="295"/>
      <c r="I1" s="295"/>
      <c r="J1" s="213"/>
      <c r="K1" s="213"/>
      <c r="L1" s="213"/>
      <c r="M1" s="214"/>
    </row>
    <row r="2" spans="1:26" ht="12.75" x14ac:dyDescent="0.2">
      <c r="A2" s="300" t="s">
        <v>767</v>
      </c>
      <c r="B2" s="301"/>
      <c r="C2" s="301"/>
      <c r="D2" s="301"/>
      <c r="E2" s="301"/>
      <c r="F2" s="298" t="str">
        <f>'DOE25'!A2</f>
        <v>White Mtns Reg.</v>
      </c>
      <c r="G2" s="299"/>
      <c r="H2" s="299"/>
      <c r="I2" s="299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96" t="s">
        <v>771</v>
      </c>
      <c r="D3" s="296"/>
      <c r="E3" s="296"/>
      <c r="F3" s="296"/>
      <c r="G3" s="296"/>
      <c r="H3" s="296"/>
      <c r="I3" s="296"/>
      <c r="J3" s="296"/>
      <c r="K3" s="296"/>
      <c r="L3" s="296"/>
      <c r="M3" s="297"/>
    </row>
    <row r="4" spans="1:26" x14ac:dyDescent="0.2">
      <c r="A4" s="218">
        <v>2</v>
      </c>
      <c r="B4" s="219">
        <v>17</v>
      </c>
      <c r="C4" s="285" t="s">
        <v>911</v>
      </c>
      <c r="D4" s="285"/>
      <c r="E4" s="285"/>
      <c r="F4" s="285"/>
      <c r="G4" s="285"/>
      <c r="H4" s="285"/>
      <c r="I4" s="285"/>
      <c r="J4" s="285"/>
      <c r="K4" s="285"/>
      <c r="L4" s="285"/>
      <c r="M4" s="28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5"/>
      <c r="D5" s="285"/>
      <c r="E5" s="285"/>
      <c r="F5" s="285"/>
      <c r="G5" s="285"/>
      <c r="H5" s="285"/>
      <c r="I5" s="285"/>
      <c r="J5" s="285"/>
      <c r="K5" s="285"/>
      <c r="L5" s="285"/>
      <c r="M5" s="28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>
        <v>4</v>
      </c>
      <c r="B6" s="219">
        <v>10</v>
      </c>
      <c r="C6" s="285" t="s">
        <v>915</v>
      </c>
      <c r="D6" s="285"/>
      <c r="E6" s="285"/>
      <c r="F6" s="285"/>
      <c r="G6" s="285"/>
      <c r="H6" s="285"/>
      <c r="I6" s="285"/>
      <c r="J6" s="285"/>
      <c r="K6" s="285"/>
      <c r="L6" s="285"/>
      <c r="M6" s="28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5" t="s">
        <v>914</v>
      </c>
      <c r="D7" s="285"/>
      <c r="E7" s="285"/>
      <c r="F7" s="285"/>
      <c r="G7" s="285"/>
      <c r="H7" s="285"/>
      <c r="I7" s="285"/>
      <c r="J7" s="285"/>
      <c r="K7" s="285"/>
      <c r="L7" s="285"/>
      <c r="M7" s="28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1" t="s">
        <v>912</v>
      </c>
      <c r="D8" s="21"/>
      <c r="E8" s="21"/>
      <c r="F8" s="21"/>
      <c r="G8" s="21"/>
      <c r="H8" s="21"/>
      <c r="I8" s="21"/>
      <c r="J8" s="21"/>
      <c r="K8" s="21"/>
      <c r="L8" s="21"/>
      <c r="M8" s="21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5" t="s">
        <v>916</v>
      </c>
      <c r="D10" s="285"/>
      <c r="E10" s="285"/>
      <c r="F10" s="285"/>
      <c r="G10" s="285"/>
      <c r="H10" s="285"/>
      <c r="I10" s="285"/>
      <c r="J10" s="285"/>
      <c r="K10" s="285"/>
      <c r="L10" s="285"/>
      <c r="M10" s="28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5" t="s">
        <v>913</v>
      </c>
      <c r="D11" s="285"/>
      <c r="E11" s="285"/>
      <c r="F11" s="285"/>
      <c r="G11" s="285"/>
      <c r="H11" s="285"/>
      <c r="I11" s="285"/>
      <c r="J11" s="285"/>
      <c r="K11" s="285"/>
      <c r="L11" s="285"/>
      <c r="M11" s="28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5"/>
      <c r="D12" s="285"/>
      <c r="E12" s="285"/>
      <c r="F12" s="285"/>
      <c r="G12" s="285"/>
      <c r="H12" s="285"/>
      <c r="I12" s="285"/>
      <c r="J12" s="285"/>
      <c r="K12" s="285"/>
      <c r="L12" s="285"/>
      <c r="M12" s="28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>
        <v>23</v>
      </c>
      <c r="B13" s="219">
        <v>7</v>
      </c>
      <c r="C13" s="285" t="s">
        <v>918</v>
      </c>
      <c r="D13" s="285"/>
      <c r="E13" s="285"/>
      <c r="F13" s="285"/>
      <c r="G13" s="285"/>
      <c r="H13" s="285"/>
      <c r="I13" s="285"/>
      <c r="J13" s="285"/>
      <c r="K13" s="285"/>
      <c r="L13" s="285"/>
      <c r="M13" s="286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5"/>
      <c r="D14" s="285"/>
      <c r="E14" s="285"/>
      <c r="F14" s="285"/>
      <c r="G14" s="285"/>
      <c r="H14" s="285"/>
      <c r="I14" s="285"/>
      <c r="J14" s="285"/>
      <c r="K14" s="285"/>
      <c r="L14" s="285"/>
      <c r="M14" s="28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5"/>
      <c r="D15" s="285"/>
      <c r="E15" s="285"/>
      <c r="F15" s="285"/>
      <c r="G15" s="285"/>
      <c r="H15" s="285"/>
      <c r="I15" s="285"/>
      <c r="J15" s="285"/>
      <c r="K15" s="285"/>
      <c r="L15" s="285"/>
      <c r="M15" s="28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5"/>
      <c r="D16" s="285"/>
      <c r="E16" s="285"/>
      <c r="F16" s="285"/>
      <c r="G16" s="285"/>
      <c r="H16" s="285"/>
      <c r="I16" s="285"/>
      <c r="J16" s="285"/>
      <c r="K16" s="285"/>
      <c r="L16" s="285"/>
      <c r="M16" s="28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5"/>
      <c r="D17" s="285"/>
      <c r="E17" s="285"/>
      <c r="F17" s="285"/>
      <c r="G17" s="285"/>
      <c r="H17" s="285"/>
      <c r="I17" s="285"/>
      <c r="J17" s="285"/>
      <c r="K17" s="285"/>
      <c r="L17" s="285"/>
      <c r="M17" s="28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5"/>
      <c r="D18" s="285"/>
      <c r="E18" s="285"/>
      <c r="F18" s="285"/>
      <c r="G18" s="285"/>
      <c r="H18" s="285"/>
      <c r="I18" s="285"/>
      <c r="J18" s="285"/>
      <c r="K18" s="285"/>
      <c r="L18" s="285"/>
      <c r="M18" s="28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5"/>
      <c r="D19" s="285"/>
      <c r="E19" s="285"/>
      <c r="F19" s="285"/>
      <c r="G19" s="285"/>
      <c r="H19" s="285"/>
      <c r="I19" s="285"/>
      <c r="J19" s="285"/>
      <c r="K19" s="285"/>
      <c r="L19" s="285"/>
      <c r="M19" s="28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5"/>
      <c r="D20" s="285"/>
      <c r="E20" s="285"/>
      <c r="F20" s="285"/>
      <c r="G20" s="285"/>
      <c r="H20" s="285"/>
      <c r="I20" s="285"/>
      <c r="J20" s="285"/>
      <c r="K20" s="285"/>
      <c r="L20" s="285"/>
      <c r="M20" s="28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5"/>
      <c r="D21" s="285"/>
      <c r="E21" s="285"/>
      <c r="F21" s="285"/>
      <c r="G21" s="285"/>
      <c r="H21" s="285"/>
      <c r="I21" s="285"/>
      <c r="J21" s="285"/>
      <c r="K21" s="285"/>
      <c r="L21" s="285"/>
      <c r="M21" s="28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5"/>
      <c r="D22" s="285"/>
      <c r="E22" s="285"/>
      <c r="F22" s="285"/>
      <c r="G22" s="285"/>
      <c r="H22" s="285"/>
      <c r="I22" s="285"/>
      <c r="J22" s="285"/>
      <c r="K22" s="285"/>
      <c r="L22" s="285"/>
      <c r="M22" s="28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5"/>
      <c r="D23" s="285"/>
      <c r="E23" s="285"/>
      <c r="F23" s="285"/>
      <c r="G23" s="285"/>
      <c r="H23" s="285"/>
      <c r="I23" s="285"/>
      <c r="J23" s="285"/>
      <c r="K23" s="285"/>
      <c r="L23" s="285"/>
      <c r="M23" s="28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5"/>
      <c r="D24" s="285"/>
      <c r="E24" s="285"/>
      <c r="F24" s="285"/>
      <c r="G24" s="285"/>
      <c r="H24" s="285"/>
      <c r="I24" s="285"/>
      <c r="J24" s="285"/>
      <c r="K24" s="285"/>
      <c r="L24" s="285"/>
      <c r="M24" s="28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5"/>
      <c r="D25" s="285"/>
      <c r="E25" s="285"/>
      <c r="F25" s="285"/>
      <c r="G25" s="285"/>
      <c r="H25" s="285"/>
      <c r="I25" s="285"/>
      <c r="J25" s="285"/>
      <c r="K25" s="285"/>
      <c r="L25" s="285"/>
      <c r="M25" s="28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5"/>
      <c r="D26" s="285"/>
      <c r="E26" s="285"/>
      <c r="F26" s="285"/>
      <c r="G26" s="285"/>
      <c r="H26" s="285"/>
      <c r="I26" s="285"/>
      <c r="J26" s="285"/>
      <c r="K26" s="285"/>
      <c r="L26" s="285"/>
      <c r="M26" s="28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5"/>
      <c r="D27" s="285"/>
      <c r="E27" s="285"/>
      <c r="F27" s="285"/>
      <c r="G27" s="285"/>
      <c r="H27" s="285"/>
      <c r="I27" s="285"/>
      <c r="J27" s="285"/>
      <c r="K27" s="285"/>
      <c r="L27" s="285"/>
      <c r="M27" s="28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5"/>
      <c r="D28" s="285"/>
      <c r="E28" s="285"/>
      <c r="F28" s="285"/>
      <c r="G28" s="285"/>
      <c r="H28" s="285"/>
      <c r="I28" s="285"/>
      <c r="J28" s="285"/>
      <c r="K28" s="285"/>
      <c r="L28" s="285"/>
      <c r="M28" s="28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5"/>
      <c r="D29" s="285"/>
      <c r="E29" s="285"/>
      <c r="F29" s="285"/>
      <c r="G29" s="285"/>
      <c r="H29" s="285"/>
      <c r="I29" s="285"/>
      <c r="J29" s="285"/>
      <c r="K29" s="285"/>
      <c r="L29" s="285"/>
      <c r="M29" s="286"/>
      <c r="N29" s="211"/>
      <c r="O29" s="211"/>
      <c r="P29" s="291"/>
      <c r="Q29" s="291"/>
      <c r="R29" s="291"/>
      <c r="S29" s="291"/>
      <c r="T29" s="291"/>
      <c r="U29" s="291"/>
      <c r="V29" s="291"/>
      <c r="W29" s="291"/>
      <c r="X29" s="291"/>
      <c r="Y29" s="291"/>
      <c r="Z29" s="291"/>
      <c r="AA29" s="207"/>
      <c r="AB29" s="207"/>
      <c r="AC29" s="290"/>
      <c r="AD29" s="290"/>
      <c r="AE29" s="290"/>
      <c r="AF29" s="290"/>
      <c r="AG29" s="290"/>
      <c r="AH29" s="290"/>
      <c r="AI29" s="290"/>
      <c r="AJ29" s="290"/>
      <c r="AK29" s="290"/>
      <c r="AL29" s="290"/>
      <c r="AM29" s="290"/>
      <c r="AN29" s="207"/>
      <c r="AO29" s="207"/>
      <c r="AP29" s="290"/>
      <c r="AQ29" s="290"/>
      <c r="AR29" s="290"/>
      <c r="AS29" s="290"/>
      <c r="AT29" s="290"/>
      <c r="AU29" s="290"/>
      <c r="AV29" s="290"/>
      <c r="AW29" s="290"/>
      <c r="AX29" s="290"/>
      <c r="AY29" s="290"/>
      <c r="AZ29" s="290"/>
      <c r="BA29" s="207"/>
      <c r="BB29" s="207"/>
      <c r="BC29" s="290"/>
      <c r="BD29" s="290"/>
      <c r="BE29" s="290"/>
      <c r="BF29" s="290"/>
      <c r="BG29" s="290"/>
      <c r="BH29" s="290"/>
      <c r="BI29" s="290"/>
      <c r="BJ29" s="290"/>
      <c r="BK29" s="290"/>
      <c r="BL29" s="290"/>
      <c r="BM29" s="290"/>
      <c r="BN29" s="207"/>
      <c r="BO29" s="207"/>
      <c r="BP29" s="290"/>
      <c r="BQ29" s="290"/>
      <c r="BR29" s="290"/>
      <c r="BS29" s="290"/>
      <c r="BT29" s="290"/>
      <c r="BU29" s="290"/>
      <c r="BV29" s="290"/>
      <c r="BW29" s="290"/>
      <c r="BX29" s="290"/>
      <c r="BY29" s="290"/>
      <c r="BZ29" s="290"/>
      <c r="CA29" s="207"/>
      <c r="CB29" s="207"/>
      <c r="CC29" s="290"/>
      <c r="CD29" s="290"/>
      <c r="CE29" s="290"/>
      <c r="CF29" s="290"/>
      <c r="CG29" s="290"/>
      <c r="CH29" s="290"/>
      <c r="CI29" s="290"/>
      <c r="CJ29" s="290"/>
      <c r="CK29" s="290"/>
      <c r="CL29" s="290"/>
      <c r="CM29" s="290"/>
      <c r="CN29" s="207"/>
      <c r="CO29" s="207"/>
      <c r="CP29" s="290"/>
      <c r="CQ29" s="290"/>
      <c r="CR29" s="290"/>
      <c r="CS29" s="290"/>
      <c r="CT29" s="290"/>
      <c r="CU29" s="290"/>
      <c r="CV29" s="290"/>
      <c r="CW29" s="290"/>
      <c r="CX29" s="290"/>
      <c r="CY29" s="290"/>
      <c r="CZ29" s="290"/>
      <c r="DA29" s="207"/>
      <c r="DB29" s="207"/>
      <c r="DC29" s="290"/>
      <c r="DD29" s="290"/>
      <c r="DE29" s="290"/>
      <c r="DF29" s="290"/>
      <c r="DG29" s="290"/>
      <c r="DH29" s="290"/>
      <c r="DI29" s="290"/>
      <c r="DJ29" s="290"/>
      <c r="DK29" s="290"/>
      <c r="DL29" s="290"/>
      <c r="DM29" s="290"/>
      <c r="DN29" s="207"/>
      <c r="DO29" s="207"/>
      <c r="DP29" s="290"/>
      <c r="DQ29" s="290"/>
      <c r="DR29" s="290"/>
      <c r="DS29" s="290"/>
      <c r="DT29" s="290"/>
      <c r="DU29" s="290"/>
      <c r="DV29" s="290"/>
      <c r="DW29" s="290"/>
      <c r="DX29" s="290"/>
      <c r="DY29" s="290"/>
      <c r="DZ29" s="290"/>
      <c r="EA29" s="207"/>
      <c r="EB29" s="207"/>
      <c r="EC29" s="290"/>
      <c r="ED29" s="290"/>
      <c r="EE29" s="290"/>
      <c r="EF29" s="290"/>
      <c r="EG29" s="290"/>
      <c r="EH29" s="290"/>
      <c r="EI29" s="290"/>
      <c r="EJ29" s="290"/>
      <c r="EK29" s="290"/>
      <c r="EL29" s="290"/>
      <c r="EM29" s="290"/>
      <c r="EN29" s="207"/>
      <c r="EO29" s="207"/>
      <c r="EP29" s="290"/>
      <c r="EQ29" s="290"/>
      <c r="ER29" s="290"/>
      <c r="ES29" s="290"/>
      <c r="ET29" s="290"/>
      <c r="EU29" s="290"/>
      <c r="EV29" s="290"/>
      <c r="EW29" s="290"/>
      <c r="EX29" s="290"/>
      <c r="EY29" s="290"/>
      <c r="EZ29" s="290"/>
      <c r="FA29" s="207"/>
      <c r="FB29" s="207"/>
      <c r="FC29" s="290"/>
      <c r="FD29" s="290"/>
      <c r="FE29" s="290"/>
      <c r="FF29" s="290"/>
      <c r="FG29" s="290"/>
      <c r="FH29" s="290"/>
      <c r="FI29" s="290"/>
      <c r="FJ29" s="290"/>
      <c r="FK29" s="290"/>
      <c r="FL29" s="290"/>
      <c r="FM29" s="290"/>
      <c r="FN29" s="207"/>
      <c r="FO29" s="207"/>
      <c r="FP29" s="290"/>
      <c r="FQ29" s="290"/>
      <c r="FR29" s="290"/>
      <c r="FS29" s="290"/>
      <c r="FT29" s="290"/>
      <c r="FU29" s="290"/>
      <c r="FV29" s="290"/>
      <c r="FW29" s="290"/>
      <c r="FX29" s="290"/>
      <c r="FY29" s="290"/>
      <c r="FZ29" s="290"/>
      <c r="GA29" s="207"/>
      <c r="GB29" s="207"/>
      <c r="GC29" s="290"/>
      <c r="GD29" s="290"/>
      <c r="GE29" s="290"/>
      <c r="GF29" s="290"/>
      <c r="GG29" s="290"/>
      <c r="GH29" s="290"/>
      <c r="GI29" s="290"/>
      <c r="GJ29" s="290"/>
      <c r="GK29" s="290"/>
      <c r="GL29" s="290"/>
      <c r="GM29" s="290"/>
      <c r="GN29" s="207"/>
      <c r="GO29" s="207"/>
      <c r="GP29" s="290"/>
      <c r="GQ29" s="290"/>
      <c r="GR29" s="290"/>
      <c r="GS29" s="290"/>
      <c r="GT29" s="290"/>
      <c r="GU29" s="290"/>
      <c r="GV29" s="290"/>
      <c r="GW29" s="290"/>
      <c r="GX29" s="290"/>
      <c r="GY29" s="290"/>
      <c r="GZ29" s="290"/>
      <c r="HA29" s="207"/>
      <c r="HB29" s="207"/>
      <c r="HC29" s="290"/>
      <c r="HD29" s="290"/>
      <c r="HE29" s="290"/>
      <c r="HF29" s="290"/>
      <c r="HG29" s="290"/>
      <c r="HH29" s="290"/>
      <c r="HI29" s="290"/>
      <c r="HJ29" s="290"/>
      <c r="HK29" s="290"/>
      <c r="HL29" s="290"/>
      <c r="HM29" s="290"/>
      <c r="HN29" s="207"/>
      <c r="HO29" s="207"/>
      <c r="HP29" s="290"/>
      <c r="HQ29" s="290"/>
      <c r="HR29" s="290"/>
      <c r="HS29" s="290"/>
      <c r="HT29" s="290"/>
      <c r="HU29" s="290"/>
      <c r="HV29" s="290"/>
      <c r="HW29" s="290"/>
      <c r="HX29" s="290"/>
      <c r="HY29" s="290"/>
      <c r="HZ29" s="290"/>
      <c r="IA29" s="207"/>
      <c r="IB29" s="207"/>
      <c r="IC29" s="290"/>
      <c r="ID29" s="290"/>
      <c r="IE29" s="290"/>
      <c r="IF29" s="290"/>
      <c r="IG29" s="290"/>
      <c r="IH29" s="290"/>
      <c r="II29" s="290"/>
      <c r="IJ29" s="290"/>
      <c r="IK29" s="290"/>
      <c r="IL29" s="290"/>
      <c r="IM29" s="290"/>
      <c r="IN29" s="207"/>
      <c r="IO29" s="207"/>
      <c r="IP29" s="290"/>
      <c r="IQ29" s="290"/>
      <c r="IR29" s="290"/>
      <c r="IS29" s="290"/>
      <c r="IT29" s="290"/>
      <c r="IU29" s="290"/>
      <c r="IV29" s="290"/>
    </row>
    <row r="30" spans="1:256" x14ac:dyDescent="0.2">
      <c r="A30" s="218"/>
      <c r="B30" s="219"/>
      <c r="C30" s="285"/>
      <c r="D30" s="285"/>
      <c r="E30" s="285"/>
      <c r="F30" s="285"/>
      <c r="G30" s="285"/>
      <c r="H30" s="285"/>
      <c r="I30" s="285"/>
      <c r="J30" s="285"/>
      <c r="K30" s="285"/>
      <c r="L30" s="285"/>
      <c r="M30" s="286"/>
      <c r="N30" s="211"/>
      <c r="O30" s="211"/>
      <c r="P30" s="291"/>
      <c r="Q30" s="291"/>
      <c r="R30" s="291"/>
      <c r="S30" s="291"/>
      <c r="T30" s="291"/>
      <c r="U30" s="291"/>
      <c r="V30" s="291"/>
      <c r="W30" s="291"/>
      <c r="X30" s="291"/>
      <c r="Y30" s="291"/>
      <c r="Z30" s="291"/>
      <c r="AA30" s="207"/>
      <c r="AB30" s="207"/>
      <c r="AC30" s="290"/>
      <c r="AD30" s="290"/>
      <c r="AE30" s="290"/>
      <c r="AF30" s="290"/>
      <c r="AG30" s="290"/>
      <c r="AH30" s="290"/>
      <c r="AI30" s="290"/>
      <c r="AJ30" s="290"/>
      <c r="AK30" s="290"/>
      <c r="AL30" s="290"/>
      <c r="AM30" s="290"/>
      <c r="AN30" s="207"/>
      <c r="AO30" s="207"/>
      <c r="AP30" s="290"/>
      <c r="AQ30" s="290"/>
      <c r="AR30" s="290"/>
      <c r="AS30" s="290"/>
      <c r="AT30" s="290"/>
      <c r="AU30" s="290"/>
      <c r="AV30" s="290"/>
      <c r="AW30" s="290"/>
      <c r="AX30" s="290"/>
      <c r="AY30" s="290"/>
      <c r="AZ30" s="290"/>
      <c r="BA30" s="207"/>
      <c r="BB30" s="207"/>
      <c r="BC30" s="290"/>
      <c r="BD30" s="290"/>
      <c r="BE30" s="290"/>
      <c r="BF30" s="290"/>
      <c r="BG30" s="290"/>
      <c r="BH30" s="290"/>
      <c r="BI30" s="290"/>
      <c r="BJ30" s="290"/>
      <c r="BK30" s="290"/>
      <c r="BL30" s="290"/>
      <c r="BM30" s="290"/>
      <c r="BN30" s="207"/>
      <c r="BO30" s="207"/>
      <c r="BP30" s="290"/>
      <c r="BQ30" s="290"/>
      <c r="BR30" s="290"/>
      <c r="BS30" s="290"/>
      <c r="BT30" s="290"/>
      <c r="BU30" s="290"/>
      <c r="BV30" s="290"/>
      <c r="BW30" s="290"/>
      <c r="BX30" s="290"/>
      <c r="BY30" s="290"/>
      <c r="BZ30" s="290"/>
      <c r="CA30" s="207"/>
      <c r="CB30" s="207"/>
      <c r="CC30" s="290"/>
      <c r="CD30" s="290"/>
      <c r="CE30" s="290"/>
      <c r="CF30" s="290"/>
      <c r="CG30" s="290"/>
      <c r="CH30" s="290"/>
      <c r="CI30" s="290"/>
      <c r="CJ30" s="290"/>
      <c r="CK30" s="290"/>
      <c r="CL30" s="290"/>
      <c r="CM30" s="290"/>
      <c r="CN30" s="207"/>
      <c r="CO30" s="207"/>
      <c r="CP30" s="290"/>
      <c r="CQ30" s="290"/>
      <c r="CR30" s="290"/>
      <c r="CS30" s="290"/>
      <c r="CT30" s="290"/>
      <c r="CU30" s="290"/>
      <c r="CV30" s="290"/>
      <c r="CW30" s="290"/>
      <c r="CX30" s="290"/>
      <c r="CY30" s="290"/>
      <c r="CZ30" s="290"/>
      <c r="DA30" s="207"/>
      <c r="DB30" s="207"/>
      <c r="DC30" s="290"/>
      <c r="DD30" s="290"/>
      <c r="DE30" s="290"/>
      <c r="DF30" s="290"/>
      <c r="DG30" s="290"/>
      <c r="DH30" s="290"/>
      <c r="DI30" s="290"/>
      <c r="DJ30" s="290"/>
      <c r="DK30" s="290"/>
      <c r="DL30" s="290"/>
      <c r="DM30" s="290"/>
      <c r="DN30" s="207"/>
      <c r="DO30" s="207"/>
      <c r="DP30" s="290"/>
      <c r="DQ30" s="290"/>
      <c r="DR30" s="290"/>
      <c r="DS30" s="290"/>
      <c r="DT30" s="290"/>
      <c r="DU30" s="290"/>
      <c r="DV30" s="290"/>
      <c r="DW30" s="290"/>
      <c r="DX30" s="290"/>
      <c r="DY30" s="290"/>
      <c r="DZ30" s="290"/>
      <c r="EA30" s="207"/>
      <c r="EB30" s="207"/>
      <c r="EC30" s="290"/>
      <c r="ED30" s="290"/>
      <c r="EE30" s="290"/>
      <c r="EF30" s="290"/>
      <c r="EG30" s="290"/>
      <c r="EH30" s="290"/>
      <c r="EI30" s="290"/>
      <c r="EJ30" s="290"/>
      <c r="EK30" s="290"/>
      <c r="EL30" s="290"/>
      <c r="EM30" s="290"/>
      <c r="EN30" s="207"/>
      <c r="EO30" s="207"/>
      <c r="EP30" s="290"/>
      <c r="EQ30" s="290"/>
      <c r="ER30" s="290"/>
      <c r="ES30" s="290"/>
      <c r="ET30" s="290"/>
      <c r="EU30" s="290"/>
      <c r="EV30" s="290"/>
      <c r="EW30" s="290"/>
      <c r="EX30" s="290"/>
      <c r="EY30" s="290"/>
      <c r="EZ30" s="290"/>
      <c r="FA30" s="207"/>
      <c r="FB30" s="207"/>
      <c r="FC30" s="290"/>
      <c r="FD30" s="290"/>
      <c r="FE30" s="290"/>
      <c r="FF30" s="290"/>
      <c r="FG30" s="290"/>
      <c r="FH30" s="290"/>
      <c r="FI30" s="290"/>
      <c r="FJ30" s="290"/>
      <c r="FK30" s="290"/>
      <c r="FL30" s="290"/>
      <c r="FM30" s="290"/>
      <c r="FN30" s="207"/>
      <c r="FO30" s="207"/>
      <c r="FP30" s="290"/>
      <c r="FQ30" s="290"/>
      <c r="FR30" s="290"/>
      <c r="FS30" s="290"/>
      <c r="FT30" s="290"/>
      <c r="FU30" s="290"/>
      <c r="FV30" s="290"/>
      <c r="FW30" s="290"/>
      <c r="FX30" s="290"/>
      <c r="FY30" s="290"/>
      <c r="FZ30" s="290"/>
      <c r="GA30" s="207"/>
      <c r="GB30" s="207"/>
      <c r="GC30" s="290"/>
      <c r="GD30" s="290"/>
      <c r="GE30" s="290"/>
      <c r="GF30" s="290"/>
      <c r="GG30" s="290"/>
      <c r="GH30" s="290"/>
      <c r="GI30" s="290"/>
      <c r="GJ30" s="290"/>
      <c r="GK30" s="290"/>
      <c r="GL30" s="290"/>
      <c r="GM30" s="290"/>
      <c r="GN30" s="207"/>
      <c r="GO30" s="207"/>
      <c r="GP30" s="290"/>
      <c r="GQ30" s="290"/>
      <c r="GR30" s="290"/>
      <c r="GS30" s="290"/>
      <c r="GT30" s="290"/>
      <c r="GU30" s="290"/>
      <c r="GV30" s="290"/>
      <c r="GW30" s="290"/>
      <c r="GX30" s="290"/>
      <c r="GY30" s="290"/>
      <c r="GZ30" s="290"/>
      <c r="HA30" s="207"/>
      <c r="HB30" s="207"/>
      <c r="HC30" s="290"/>
      <c r="HD30" s="290"/>
      <c r="HE30" s="290"/>
      <c r="HF30" s="290"/>
      <c r="HG30" s="290"/>
      <c r="HH30" s="290"/>
      <c r="HI30" s="290"/>
      <c r="HJ30" s="290"/>
      <c r="HK30" s="290"/>
      <c r="HL30" s="290"/>
      <c r="HM30" s="290"/>
      <c r="HN30" s="207"/>
      <c r="HO30" s="207"/>
      <c r="HP30" s="290"/>
      <c r="HQ30" s="290"/>
      <c r="HR30" s="290"/>
      <c r="HS30" s="290"/>
      <c r="HT30" s="290"/>
      <c r="HU30" s="290"/>
      <c r="HV30" s="290"/>
      <c r="HW30" s="290"/>
      <c r="HX30" s="290"/>
      <c r="HY30" s="290"/>
      <c r="HZ30" s="290"/>
      <c r="IA30" s="207"/>
      <c r="IB30" s="207"/>
      <c r="IC30" s="290"/>
      <c r="ID30" s="290"/>
      <c r="IE30" s="290"/>
      <c r="IF30" s="290"/>
      <c r="IG30" s="290"/>
      <c r="IH30" s="290"/>
      <c r="II30" s="290"/>
      <c r="IJ30" s="290"/>
      <c r="IK30" s="290"/>
      <c r="IL30" s="290"/>
      <c r="IM30" s="290"/>
      <c r="IN30" s="207"/>
      <c r="IO30" s="207"/>
      <c r="IP30" s="290"/>
      <c r="IQ30" s="290"/>
      <c r="IR30" s="290"/>
      <c r="IS30" s="290"/>
      <c r="IT30" s="290"/>
      <c r="IU30" s="290"/>
      <c r="IV30" s="290"/>
    </row>
    <row r="31" spans="1:256" x14ac:dyDescent="0.2">
      <c r="A31" s="218"/>
      <c r="B31" s="219"/>
      <c r="C31" s="285"/>
      <c r="D31" s="285"/>
      <c r="E31" s="285"/>
      <c r="F31" s="285"/>
      <c r="G31" s="285"/>
      <c r="H31" s="285"/>
      <c r="I31" s="285"/>
      <c r="J31" s="285"/>
      <c r="K31" s="285"/>
      <c r="L31" s="285"/>
      <c r="M31" s="286"/>
      <c r="N31" s="211"/>
      <c r="O31" s="211"/>
      <c r="P31" s="291"/>
      <c r="Q31" s="291"/>
      <c r="R31" s="291"/>
      <c r="S31" s="291"/>
      <c r="T31" s="291"/>
      <c r="U31" s="291"/>
      <c r="V31" s="291"/>
      <c r="W31" s="291"/>
      <c r="X31" s="291"/>
      <c r="Y31" s="291"/>
      <c r="Z31" s="291"/>
      <c r="AA31" s="207"/>
      <c r="AB31" s="207"/>
      <c r="AC31" s="290"/>
      <c r="AD31" s="290"/>
      <c r="AE31" s="290"/>
      <c r="AF31" s="290"/>
      <c r="AG31" s="290"/>
      <c r="AH31" s="290"/>
      <c r="AI31" s="290"/>
      <c r="AJ31" s="290"/>
      <c r="AK31" s="290"/>
      <c r="AL31" s="290"/>
      <c r="AM31" s="290"/>
      <c r="AN31" s="207"/>
      <c r="AO31" s="207"/>
      <c r="AP31" s="290"/>
      <c r="AQ31" s="290"/>
      <c r="AR31" s="290"/>
      <c r="AS31" s="290"/>
      <c r="AT31" s="290"/>
      <c r="AU31" s="290"/>
      <c r="AV31" s="290"/>
      <c r="AW31" s="290"/>
      <c r="AX31" s="290"/>
      <c r="AY31" s="290"/>
      <c r="AZ31" s="290"/>
      <c r="BA31" s="207"/>
      <c r="BB31" s="207"/>
      <c r="BC31" s="290"/>
      <c r="BD31" s="290"/>
      <c r="BE31" s="290"/>
      <c r="BF31" s="290"/>
      <c r="BG31" s="290"/>
      <c r="BH31" s="290"/>
      <c r="BI31" s="290"/>
      <c r="BJ31" s="290"/>
      <c r="BK31" s="290"/>
      <c r="BL31" s="290"/>
      <c r="BM31" s="290"/>
      <c r="BN31" s="207"/>
      <c r="BO31" s="207"/>
      <c r="BP31" s="290"/>
      <c r="BQ31" s="290"/>
      <c r="BR31" s="290"/>
      <c r="BS31" s="290"/>
      <c r="BT31" s="290"/>
      <c r="BU31" s="290"/>
      <c r="BV31" s="290"/>
      <c r="BW31" s="290"/>
      <c r="BX31" s="290"/>
      <c r="BY31" s="290"/>
      <c r="BZ31" s="290"/>
      <c r="CA31" s="207"/>
      <c r="CB31" s="207"/>
      <c r="CC31" s="290"/>
      <c r="CD31" s="290"/>
      <c r="CE31" s="290"/>
      <c r="CF31" s="290"/>
      <c r="CG31" s="290"/>
      <c r="CH31" s="290"/>
      <c r="CI31" s="290"/>
      <c r="CJ31" s="290"/>
      <c r="CK31" s="290"/>
      <c r="CL31" s="290"/>
      <c r="CM31" s="290"/>
      <c r="CN31" s="207"/>
      <c r="CO31" s="207"/>
      <c r="CP31" s="290"/>
      <c r="CQ31" s="290"/>
      <c r="CR31" s="290"/>
      <c r="CS31" s="290"/>
      <c r="CT31" s="290"/>
      <c r="CU31" s="290"/>
      <c r="CV31" s="290"/>
      <c r="CW31" s="290"/>
      <c r="CX31" s="290"/>
      <c r="CY31" s="290"/>
      <c r="CZ31" s="290"/>
      <c r="DA31" s="207"/>
      <c r="DB31" s="207"/>
      <c r="DC31" s="290"/>
      <c r="DD31" s="290"/>
      <c r="DE31" s="290"/>
      <c r="DF31" s="290"/>
      <c r="DG31" s="290"/>
      <c r="DH31" s="290"/>
      <c r="DI31" s="290"/>
      <c r="DJ31" s="290"/>
      <c r="DK31" s="290"/>
      <c r="DL31" s="290"/>
      <c r="DM31" s="290"/>
      <c r="DN31" s="207"/>
      <c r="DO31" s="207"/>
      <c r="DP31" s="290"/>
      <c r="DQ31" s="290"/>
      <c r="DR31" s="290"/>
      <c r="DS31" s="290"/>
      <c r="DT31" s="290"/>
      <c r="DU31" s="290"/>
      <c r="DV31" s="290"/>
      <c r="DW31" s="290"/>
      <c r="DX31" s="290"/>
      <c r="DY31" s="290"/>
      <c r="DZ31" s="290"/>
      <c r="EA31" s="207"/>
      <c r="EB31" s="207"/>
      <c r="EC31" s="290"/>
      <c r="ED31" s="290"/>
      <c r="EE31" s="290"/>
      <c r="EF31" s="290"/>
      <c r="EG31" s="290"/>
      <c r="EH31" s="290"/>
      <c r="EI31" s="290"/>
      <c r="EJ31" s="290"/>
      <c r="EK31" s="290"/>
      <c r="EL31" s="290"/>
      <c r="EM31" s="290"/>
      <c r="EN31" s="207"/>
      <c r="EO31" s="207"/>
      <c r="EP31" s="290"/>
      <c r="EQ31" s="290"/>
      <c r="ER31" s="290"/>
      <c r="ES31" s="290"/>
      <c r="ET31" s="290"/>
      <c r="EU31" s="290"/>
      <c r="EV31" s="290"/>
      <c r="EW31" s="290"/>
      <c r="EX31" s="290"/>
      <c r="EY31" s="290"/>
      <c r="EZ31" s="290"/>
      <c r="FA31" s="207"/>
      <c r="FB31" s="207"/>
      <c r="FC31" s="290"/>
      <c r="FD31" s="290"/>
      <c r="FE31" s="290"/>
      <c r="FF31" s="290"/>
      <c r="FG31" s="290"/>
      <c r="FH31" s="290"/>
      <c r="FI31" s="290"/>
      <c r="FJ31" s="290"/>
      <c r="FK31" s="290"/>
      <c r="FL31" s="290"/>
      <c r="FM31" s="290"/>
      <c r="FN31" s="207"/>
      <c r="FO31" s="207"/>
      <c r="FP31" s="290"/>
      <c r="FQ31" s="290"/>
      <c r="FR31" s="290"/>
      <c r="FS31" s="290"/>
      <c r="FT31" s="290"/>
      <c r="FU31" s="290"/>
      <c r="FV31" s="290"/>
      <c r="FW31" s="290"/>
      <c r="FX31" s="290"/>
      <c r="FY31" s="290"/>
      <c r="FZ31" s="290"/>
      <c r="GA31" s="207"/>
      <c r="GB31" s="207"/>
      <c r="GC31" s="290"/>
      <c r="GD31" s="290"/>
      <c r="GE31" s="290"/>
      <c r="GF31" s="290"/>
      <c r="GG31" s="290"/>
      <c r="GH31" s="290"/>
      <c r="GI31" s="290"/>
      <c r="GJ31" s="290"/>
      <c r="GK31" s="290"/>
      <c r="GL31" s="290"/>
      <c r="GM31" s="290"/>
      <c r="GN31" s="207"/>
      <c r="GO31" s="207"/>
      <c r="GP31" s="290"/>
      <c r="GQ31" s="290"/>
      <c r="GR31" s="290"/>
      <c r="GS31" s="290"/>
      <c r="GT31" s="290"/>
      <c r="GU31" s="290"/>
      <c r="GV31" s="290"/>
      <c r="GW31" s="290"/>
      <c r="GX31" s="290"/>
      <c r="GY31" s="290"/>
      <c r="GZ31" s="290"/>
      <c r="HA31" s="207"/>
      <c r="HB31" s="207"/>
      <c r="HC31" s="290"/>
      <c r="HD31" s="290"/>
      <c r="HE31" s="290"/>
      <c r="HF31" s="290"/>
      <c r="HG31" s="290"/>
      <c r="HH31" s="290"/>
      <c r="HI31" s="290"/>
      <c r="HJ31" s="290"/>
      <c r="HK31" s="290"/>
      <c r="HL31" s="290"/>
      <c r="HM31" s="290"/>
      <c r="HN31" s="207"/>
      <c r="HO31" s="207"/>
      <c r="HP31" s="290"/>
      <c r="HQ31" s="290"/>
      <c r="HR31" s="290"/>
      <c r="HS31" s="290"/>
      <c r="HT31" s="290"/>
      <c r="HU31" s="290"/>
      <c r="HV31" s="290"/>
      <c r="HW31" s="290"/>
      <c r="HX31" s="290"/>
      <c r="HY31" s="290"/>
      <c r="HZ31" s="290"/>
      <c r="IA31" s="207"/>
      <c r="IB31" s="207"/>
      <c r="IC31" s="290"/>
      <c r="ID31" s="290"/>
      <c r="IE31" s="290"/>
      <c r="IF31" s="290"/>
      <c r="IG31" s="290"/>
      <c r="IH31" s="290"/>
      <c r="II31" s="290"/>
      <c r="IJ31" s="290"/>
      <c r="IK31" s="290"/>
      <c r="IL31" s="290"/>
      <c r="IM31" s="290"/>
      <c r="IN31" s="207"/>
      <c r="IO31" s="207"/>
      <c r="IP31" s="290"/>
      <c r="IQ31" s="290"/>
      <c r="IR31" s="290"/>
      <c r="IS31" s="290"/>
      <c r="IT31" s="290"/>
      <c r="IU31" s="290"/>
      <c r="IV31" s="290"/>
    </row>
    <row r="32" spans="1:256" x14ac:dyDescent="0.2">
      <c r="A32" s="218"/>
      <c r="B32" s="219"/>
      <c r="C32" s="285"/>
      <c r="D32" s="285"/>
      <c r="E32" s="285"/>
      <c r="F32" s="285"/>
      <c r="G32" s="285"/>
      <c r="H32" s="285"/>
      <c r="I32" s="285"/>
      <c r="J32" s="285"/>
      <c r="K32" s="285"/>
      <c r="L32" s="285"/>
      <c r="M32" s="286"/>
      <c r="N32" s="223"/>
      <c r="O32" s="223"/>
      <c r="P32" s="292"/>
      <c r="Q32" s="292"/>
      <c r="R32" s="292"/>
      <c r="S32" s="292"/>
      <c r="T32" s="292"/>
      <c r="U32" s="292"/>
      <c r="V32" s="292"/>
      <c r="W32" s="292"/>
      <c r="X32" s="292"/>
      <c r="Y32" s="292"/>
      <c r="Z32" s="293"/>
      <c r="AA32" s="218"/>
      <c r="AB32" s="219"/>
      <c r="AC32" s="285"/>
      <c r="AD32" s="285"/>
      <c r="AE32" s="285"/>
      <c r="AF32" s="285"/>
      <c r="AG32" s="285"/>
      <c r="AH32" s="285"/>
      <c r="AI32" s="285"/>
      <c r="AJ32" s="285"/>
      <c r="AK32" s="285"/>
      <c r="AL32" s="285"/>
      <c r="AM32" s="286"/>
      <c r="AN32" s="218"/>
      <c r="AO32" s="219"/>
      <c r="AP32" s="285"/>
      <c r="AQ32" s="285"/>
      <c r="AR32" s="285"/>
      <c r="AS32" s="285"/>
      <c r="AT32" s="285"/>
      <c r="AU32" s="285"/>
      <c r="AV32" s="285"/>
      <c r="AW32" s="285"/>
      <c r="AX32" s="285"/>
      <c r="AY32" s="285"/>
      <c r="AZ32" s="286"/>
      <c r="BA32" s="218"/>
      <c r="BB32" s="219"/>
      <c r="BC32" s="285"/>
      <c r="BD32" s="285"/>
      <c r="BE32" s="285"/>
      <c r="BF32" s="285"/>
      <c r="BG32" s="285"/>
      <c r="BH32" s="285"/>
      <c r="BI32" s="285"/>
      <c r="BJ32" s="285"/>
      <c r="BK32" s="285"/>
      <c r="BL32" s="285"/>
      <c r="BM32" s="286"/>
      <c r="BN32" s="218"/>
      <c r="BO32" s="219"/>
      <c r="BP32" s="285"/>
      <c r="BQ32" s="285"/>
      <c r="BR32" s="285"/>
      <c r="BS32" s="285"/>
      <c r="BT32" s="285"/>
      <c r="BU32" s="285"/>
      <c r="BV32" s="285"/>
      <c r="BW32" s="285"/>
      <c r="BX32" s="285"/>
      <c r="BY32" s="285"/>
      <c r="BZ32" s="286"/>
      <c r="CA32" s="218"/>
      <c r="CB32" s="219"/>
      <c r="CC32" s="285"/>
      <c r="CD32" s="285"/>
      <c r="CE32" s="285"/>
      <c r="CF32" s="285"/>
      <c r="CG32" s="285"/>
      <c r="CH32" s="285"/>
      <c r="CI32" s="285"/>
      <c r="CJ32" s="285"/>
      <c r="CK32" s="285"/>
      <c r="CL32" s="285"/>
      <c r="CM32" s="286"/>
      <c r="CN32" s="218"/>
      <c r="CO32" s="219"/>
      <c r="CP32" s="285"/>
      <c r="CQ32" s="285"/>
      <c r="CR32" s="285"/>
      <c r="CS32" s="285"/>
      <c r="CT32" s="285"/>
      <c r="CU32" s="285"/>
      <c r="CV32" s="285"/>
      <c r="CW32" s="285"/>
      <c r="CX32" s="285"/>
      <c r="CY32" s="285"/>
      <c r="CZ32" s="286"/>
      <c r="DA32" s="218"/>
      <c r="DB32" s="219"/>
      <c r="DC32" s="285"/>
      <c r="DD32" s="285"/>
      <c r="DE32" s="285"/>
      <c r="DF32" s="285"/>
      <c r="DG32" s="285"/>
      <c r="DH32" s="285"/>
      <c r="DI32" s="285"/>
      <c r="DJ32" s="285"/>
      <c r="DK32" s="285"/>
      <c r="DL32" s="285"/>
      <c r="DM32" s="286"/>
      <c r="DN32" s="218"/>
      <c r="DO32" s="219"/>
      <c r="DP32" s="285"/>
      <c r="DQ32" s="285"/>
      <c r="DR32" s="285"/>
      <c r="DS32" s="285"/>
      <c r="DT32" s="285"/>
      <c r="DU32" s="285"/>
      <c r="DV32" s="285"/>
      <c r="DW32" s="285"/>
      <c r="DX32" s="285"/>
      <c r="DY32" s="285"/>
      <c r="DZ32" s="286"/>
      <c r="EA32" s="218"/>
      <c r="EB32" s="219"/>
      <c r="EC32" s="285"/>
      <c r="ED32" s="285"/>
      <c r="EE32" s="285"/>
      <c r="EF32" s="285"/>
      <c r="EG32" s="285"/>
      <c r="EH32" s="285"/>
      <c r="EI32" s="285"/>
      <c r="EJ32" s="285"/>
      <c r="EK32" s="285"/>
      <c r="EL32" s="285"/>
      <c r="EM32" s="286"/>
      <c r="EN32" s="218"/>
      <c r="EO32" s="219"/>
      <c r="EP32" s="285"/>
      <c r="EQ32" s="285"/>
      <c r="ER32" s="285"/>
      <c r="ES32" s="285"/>
      <c r="ET32" s="285"/>
      <c r="EU32" s="285"/>
      <c r="EV32" s="285"/>
      <c r="EW32" s="285"/>
      <c r="EX32" s="285"/>
      <c r="EY32" s="285"/>
      <c r="EZ32" s="286"/>
      <c r="FA32" s="218"/>
      <c r="FB32" s="219"/>
      <c r="FC32" s="285"/>
      <c r="FD32" s="285"/>
      <c r="FE32" s="285"/>
      <c r="FF32" s="285"/>
      <c r="FG32" s="285"/>
      <c r="FH32" s="285"/>
      <c r="FI32" s="285"/>
      <c r="FJ32" s="285"/>
      <c r="FK32" s="285"/>
      <c r="FL32" s="285"/>
      <c r="FM32" s="286"/>
      <c r="FN32" s="218"/>
      <c r="FO32" s="219"/>
      <c r="FP32" s="285"/>
      <c r="FQ32" s="285"/>
      <c r="FR32" s="285"/>
      <c r="FS32" s="285"/>
      <c r="FT32" s="285"/>
      <c r="FU32" s="285"/>
      <c r="FV32" s="285"/>
      <c r="FW32" s="285"/>
      <c r="FX32" s="285"/>
      <c r="FY32" s="285"/>
      <c r="FZ32" s="286"/>
      <c r="GA32" s="218"/>
      <c r="GB32" s="219"/>
      <c r="GC32" s="285"/>
      <c r="GD32" s="285"/>
      <c r="GE32" s="285"/>
      <c r="GF32" s="285"/>
      <c r="GG32" s="285"/>
      <c r="GH32" s="285"/>
      <c r="GI32" s="285"/>
      <c r="GJ32" s="285"/>
      <c r="GK32" s="285"/>
      <c r="GL32" s="285"/>
      <c r="GM32" s="286"/>
      <c r="GN32" s="218"/>
      <c r="GO32" s="219"/>
      <c r="GP32" s="285"/>
      <c r="GQ32" s="285"/>
      <c r="GR32" s="285"/>
      <c r="GS32" s="285"/>
      <c r="GT32" s="285"/>
      <c r="GU32" s="285"/>
      <c r="GV32" s="285"/>
      <c r="GW32" s="285"/>
      <c r="GX32" s="285"/>
      <c r="GY32" s="285"/>
      <c r="GZ32" s="286"/>
      <c r="HA32" s="218"/>
      <c r="HB32" s="219"/>
      <c r="HC32" s="285"/>
      <c r="HD32" s="285"/>
      <c r="HE32" s="285"/>
      <c r="HF32" s="285"/>
      <c r="HG32" s="285"/>
      <c r="HH32" s="285"/>
      <c r="HI32" s="285"/>
      <c r="HJ32" s="285"/>
      <c r="HK32" s="285"/>
      <c r="HL32" s="285"/>
      <c r="HM32" s="286"/>
      <c r="HN32" s="218"/>
      <c r="HO32" s="219"/>
      <c r="HP32" s="285"/>
      <c r="HQ32" s="285"/>
      <c r="HR32" s="285"/>
      <c r="HS32" s="285"/>
      <c r="HT32" s="285"/>
      <c r="HU32" s="285"/>
      <c r="HV32" s="285"/>
      <c r="HW32" s="285"/>
      <c r="HX32" s="285"/>
      <c r="HY32" s="285"/>
      <c r="HZ32" s="286"/>
      <c r="IA32" s="218"/>
      <c r="IB32" s="219"/>
      <c r="IC32" s="285"/>
      <c r="ID32" s="285"/>
      <c r="IE32" s="285"/>
      <c r="IF32" s="285"/>
      <c r="IG32" s="285"/>
      <c r="IH32" s="285"/>
      <c r="II32" s="285"/>
      <c r="IJ32" s="285"/>
      <c r="IK32" s="285"/>
      <c r="IL32" s="285"/>
      <c r="IM32" s="286"/>
      <c r="IN32" s="218"/>
      <c r="IO32" s="219"/>
      <c r="IP32" s="285"/>
      <c r="IQ32" s="285"/>
      <c r="IR32" s="285"/>
      <c r="IS32" s="285"/>
      <c r="IT32" s="285"/>
      <c r="IU32" s="285"/>
      <c r="IV32" s="285"/>
    </row>
    <row r="33" spans="1:256" x14ac:dyDescent="0.2">
      <c r="A33" s="218"/>
      <c r="B33" s="219"/>
      <c r="C33" s="285"/>
      <c r="D33" s="285"/>
      <c r="E33" s="285"/>
      <c r="F33" s="285"/>
      <c r="G33" s="285"/>
      <c r="H33" s="285"/>
      <c r="I33" s="285"/>
      <c r="J33" s="285"/>
      <c r="K33" s="285"/>
      <c r="L33" s="285"/>
      <c r="M33" s="286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5"/>
      <c r="D34" s="285"/>
      <c r="E34" s="285"/>
      <c r="F34" s="285"/>
      <c r="G34" s="285"/>
      <c r="H34" s="285"/>
      <c r="I34" s="285"/>
      <c r="J34" s="285"/>
      <c r="K34" s="285"/>
      <c r="L34" s="285"/>
      <c r="M34" s="286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5"/>
      <c r="D35" s="285"/>
      <c r="E35" s="285"/>
      <c r="F35" s="285"/>
      <c r="G35" s="285"/>
      <c r="H35" s="285"/>
      <c r="I35" s="285"/>
      <c r="J35" s="285"/>
      <c r="K35" s="285"/>
      <c r="L35" s="285"/>
      <c r="M35" s="286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5"/>
      <c r="D36" s="285"/>
      <c r="E36" s="285"/>
      <c r="F36" s="285"/>
      <c r="G36" s="285"/>
      <c r="H36" s="285"/>
      <c r="I36" s="285"/>
      <c r="J36" s="285"/>
      <c r="K36" s="285"/>
      <c r="L36" s="285"/>
      <c r="M36" s="286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5"/>
      <c r="D37" s="285"/>
      <c r="E37" s="285"/>
      <c r="F37" s="285"/>
      <c r="G37" s="285"/>
      <c r="H37" s="285"/>
      <c r="I37" s="285"/>
      <c r="J37" s="285"/>
      <c r="K37" s="285"/>
      <c r="L37" s="285"/>
      <c r="M37" s="286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5"/>
      <c r="D38" s="285"/>
      <c r="E38" s="285"/>
      <c r="F38" s="285"/>
      <c r="G38" s="285"/>
      <c r="H38" s="285"/>
      <c r="I38" s="285"/>
      <c r="J38" s="285"/>
      <c r="K38" s="285"/>
      <c r="L38" s="285"/>
      <c r="M38" s="286"/>
      <c r="N38" s="211"/>
      <c r="O38" s="211"/>
      <c r="P38" s="291"/>
      <c r="Q38" s="291"/>
      <c r="R38" s="291"/>
      <c r="S38" s="291"/>
      <c r="T38" s="291"/>
      <c r="U38" s="291"/>
      <c r="V38" s="291"/>
      <c r="W38" s="291"/>
      <c r="X38" s="291"/>
      <c r="Y38" s="291"/>
      <c r="Z38" s="291"/>
      <c r="AA38" s="207"/>
      <c r="AB38" s="207"/>
      <c r="AC38" s="290"/>
      <c r="AD38" s="290"/>
      <c r="AE38" s="290"/>
      <c r="AF38" s="290"/>
      <c r="AG38" s="290"/>
      <c r="AH38" s="290"/>
      <c r="AI38" s="290"/>
      <c r="AJ38" s="290"/>
      <c r="AK38" s="290"/>
      <c r="AL38" s="290"/>
      <c r="AM38" s="290"/>
      <c r="AN38" s="207"/>
      <c r="AO38" s="207"/>
      <c r="AP38" s="290"/>
      <c r="AQ38" s="290"/>
      <c r="AR38" s="290"/>
      <c r="AS38" s="290"/>
      <c r="AT38" s="290"/>
      <c r="AU38" s="290"/>
      <c r="AV38" s="290"/>
      <c r="AW38" s="290"/>
      <c r="AX38" s="290"/>
      <c r="AY38" s="290"/>
      <c r="AZ38" s="290"/>
      <c r="BA38" s="207"/>
      <c r="BB38" s="207"/>
      <c r="BC38" s="290"/>
      <c r="BD38" s="290"/>
      <c r="BE38" s="290"/>
      <c r="BF38" s="290"/>
      <c r="BG38" s="290"/>
      <c r="BH38" s="290"/>
      <c r="BI38" s="290"/>
      <c r="BJ38" s="290"/>
      <c r="BK38" s="290"/>
      <c r="BL38" s="290"/>
      <c r="BM38" s="290"/>
      <c r="BN38" s="207"/>
      <c r="BO38" s="207"/>
      <c r="BP38" s="290"/>
      <c r="BQ38" s="290"/>
      <c r="BR38" s="290"/>
      <c r="BS38" s="290"/>
      <c r="BT38" s="290"/>
      <c r="BU38" s="290"/>
      <c r="BV38" s="290"/>
      <c r="BW38" s="290"/>
      <c r="BX38" s="290"/>
      <c r="BY38" s="290"/>
      <c r="BZ38" s="290"/>
      <c r="CA38" s="207"/>
      <c r="CB38" s="207"/>
      <c r="CC38" s="290"/>
      <c r="CD38" s="290"/>
      <c r="CE38" s="290"/>
      <c r="CF38" s="290"/>
      <c r="CG38" s="290"/>
      <c r="CH38" s="290"/>
      <c r="CI38" s="290"/>
      <c r="CJ38" s="290"/>
      <c r="CK38" s="290"/>
      <c r="CL38" s="290"/>
      <c r="CM38" s="290"/>
      <c r="CN38" s="207"/>
      <c r="CO38" s="207"/>
      <c r="CP38" s="290"/>
      <c r="CQ38" s="290"/>
      <c r="CR38" s="290"/>
      <c r="CS38" s="290"/>
      <c r="CT38" s="290"/>
      <c r="CU38" s="290"/>
      <c r="CV38" s="290"/>
      <c r="CW38" s="290"/>
      <c r="CX38" s="290"/>
      <c r="CY38" s="290"/>
      <c r="CZ38" s="290"/>
      <c r="DA38" s="207"/>
      <c r="DB38" s="207"/>
      <c r="DC38" s="290"/>
      <c r="DD38" s="290"/>
      <c r="DE38" s="290"/>
      <c r="DF38" s="290"/>
      <c r="DG38" s="290"/>
      <c r="DH38" s="290"/>
      <c r="DI38" s="290"/>
      <c r="DJ38" s="290"/>
      <c r="DK38" s="290"/>
      <c r="DL38" s="290"/>
      <c r="DM38" s="290"/>
      <c r="DN38" s="207"/>
      <c r="DO38" s="207"/>
      <c r="DP38" s="290"/>
      <c r="DQ38" s="290"/>
      <c r="DR38" s="290"/>
      <c r="DS38" s="290"/>
      <c r="DT38" s="290"/>
      <c r="DU38" s="290"/>
      <c r="DV38" s="290"/>
      <c r="DW38" s="290"/>
      <c r="DX38" s="290"/>
      <c r="DY38" s="290"/>
      <c r="DZ38" s="290"/>
      <c r="EA38" s="207"/>
      <c r="EB38" s="207"/>
      <c r="EC38" s="290"/>
      <c r="ED38" s="290"/>
      <c r="EE38" s="290"/>
      <c r="EF38" s="290"/>
      <c r="EG38" s="290"/>
      <c r="EH38" s="290"/>
      <c r="EI38" s="290"/>
      <c r="EJ38" s="290"/>
      <c r="EK38" s="290"/>
      <c r="EL38" s="290"/>
      <c r="EM38" s="290"/>
      <c r="EN38" s="207"/>
      <c r="EO38" s="207"/>
      <c r="EP38" s="290"/>
      <c r="EQ38" s="290"/>
      <c r="ER38" s="290"/>
      <c r="ES38" s="290"/>
      <c r="ET38" s="290"/>
      <c r="EU38" s="290"/>
      <c r="EV38" s="290"/>
      <c r="EW38" s="290"/>
      <c r="EX38" s="290"/>
      <c r="EY38" s="290"/>
      <c r="EZ38" s="290"/>
      <c r="FA38" s="207"/>
      <c r="FB38" s="207"/>
      <c r="FC38" s="290"/>
      <c r="FD38" s="290"/>
      <c r="FE38" s="290"/>
      <c r="FF38" s="290"/>
      <c r="FG38" s="290"/>
      <c r="FH38" s="290"/>
      <c r="FI38" s="290"/>
      <c r="FJ38" s="290"/>
      <c r="FK38" s="290"/>
      <c r="FL38" s="290"/>
      <c r="FM38" s="290"/>
      <c r="FN38" s="207"/>
      <c r="FO38" s="207"/>
      <c r="FP38" s="290"/>
      <c r="FQ38" s="290"/>
      <c r="FR38" s="290"/>
      <c r="FS38" s="290"/>
      <c r="FT38" s="290"/>
      <c r="FU38" s="290"/>
      <c r="FV38" s="290"/>
      <c r="FW38" s="290"/>
      <c r="FX38" s="290"/>
      <c r="FY38" s="290"/>
      <c r="FZ38" s="290"/>
      <c r="GA38" s="207"/>
      <c r="GB38" s="207"/>
      <c r="GC38" s="290"/>
      <c r="GD38" s="290"/>
      <c r="GE38" s="290"/>
      <c r="GF38" s="290"/>
      <c r="GG38" s="290"/>
      <c r="GH38" s="290"/>
      <c r="GI38" s="290"/>
      <c r="GJ38" s="290"/>
      <c r="GK38" s="290"/>
      <c r="GL38" s="290"/>
      <c r="GM38" s="290"/>
      <c r="GN38" s="207"/>
      <c r="GO38" s="207"/>
      <c r="GP38" s="290"/>
      <c r="GQ38" s="290"/>
      <c r="GR38" s="290"/>
      <c r="GS38" s="290"/>
      <c r="GT38" s="290"/>
      <c r="GU38" s="290"/>
      <c r="GV38" s="290"/>
      <c r="GW38" s="290"/>
      <c r="GX38" s="290"/>
      <c r="GY38" s="290"/>
      <c r="GZ38" s="290"/>
      <c r="HA38" s="207"/>
      <c r="HB38" s="207"/>
      <c r="HC38" s="290"/>
      <c r="HD38" s="290"/>
      <c r="HE38" s="290"/>
      <c r="HF38" s="290"/>
      <c r="HG38" s="290"/>
      <c r="HH38" s="290"/>
      <c r="HI38" s="290"/>
      <c r="HJ38" s="290"/>
      <c r="HK38" s="290"/>
      <c r="HL38" s="290"/>
      <c r="HM38" s="290"/>
      <c r="HN38" s="207"/>
      <c r="HO38" s="207"/>
      <c r="HP38" s="290"/>
      <c r="HQ38" s="290"/>
      <c r="HR38" s="290"/>
      <c r="HS38" s="290"/>
      <c r="HT38" s="290"/>
      <c r="HU38" s="290"/>
      <c r="HV38" s="290"/>
      <c r="HW38" s="290"/>
      <c r="HX38" s="290"/>
      <c r="HY38" s="290"/>
      <c r="HZ38" s="290"/>
      <c r="IA38" s="207"/>
      <c r="IB38" s="207"/>
      <c r="IC38" s="290"/>
      <c r="ID38" s="290"/>
      <c r="IE38" s="290"/>
      <c r="IF38" s="290"/>
      <c r="IG38" s="290"/>
      <c r="IH38" s="290"/>
      <c r="II38" s="290"/>
      <c r="IJ38" s="290"/>
      <c r="IK38" s="290"/>
      <c r="IL38" s="290"/>
      <c r="IM38" s="290"/>
      <c r="IN38" s="207"/>
      <c r="IO38" s="207"/>
      <c r="IP38" s="290"/>
      <c r="IQ38" s="290"/>
      <c r="IR38" s="290"/>
      <c r="IS38" s="290"/>
      <c r="IT38" s="290"/>
      <c r="IU38" s="290"/>
      <c r="IV38" s="290"/>
    </row>
    <row r="39" spans="1:256" x14ac:dyDescent="0.2">
      <c r="A39" s="218"/>
      <c r="B39" s="219"/>
      <c r="C39" s="285"/>
      <c r="D39" s="285"/>
      <c r="E39" s="285"/>
      <c r="F39" s="285"/>
      <c r="G39" s="285"/>
      <c r="H39" s="285"/>
      <c r="I39" s="285"/>
      <c r="J39" s="285"/>
      <c r="K39" s="285"/>
      <c r="L39" s="285"/>
      <c r="M39" s="286"/>
      <c r="N39" s="211"/>
      <c r="O39" s="211"/>
      <c r="P39" s="291"/>
      <c r="Q39" s="291"/>
      <c r="R39" s="291"/>
      <c r="S39" s="291"/>
      <c r="T39" s="291"/>
      <c r="U39" s="291"/>
      <c r="V39" s="291"/>
      <c r="W39" s="291"/>
      <c r="X39" s="291"/>
      <c r="Y39" s="291"/>
      <c r="Z39" s="291"/>
      <c r="AA39" s="207"/>
      <c r="AB39" s="207"/>
      <c r="AC39" s="290"/>
      <c r="AD39" s="290"/>
      <c r="AE39" s="290"/>
      <c r="AF39" s="290"/>
      <c r="AG39" s="290"/>
      <c r="AH39" s="290"/>
      <c r="AI39" s="290"/>
      <c r="AJ39" s="290"/>
      <c r="AK39" s="290"/>
      <c r="AL39" s="290"/>
      <c r="AM39" s="290"/>
      <c r="AN39" s="207"/>
      <c r="AO39" s="207"/>
      <c r="AP39" s="290"/>
      <c r="AQ39" s="290"/>
      <c r="AR39" s="290"/>
      <c r="AS39" s="290"/>
      <c r="AT39" s="290"/>
      <c r="AU39" s="290"/>
      <c r="AV39" s="290"/>
      <c r="AW39" s="290"/>
      <c r="AX39" s="290"/>
      <c r="AY39" s="290"/>
      <c r="AZ39" s="290"/>
      <c r="BA39" s="207"/>
      <c r="BB39" s="207"/>
      <c r="BC39" s="290"/>
      <c r="BD39" s="290"/>
      <c r="BE39" s="290"/>
      <c r="BF39" s="290"/>
      <c r="BG39" s="290"/>
      <c r="BH39" s="290"/>
      <c r="BI39" s="290"/>
      <c r="BJ39" s="290"/>
      <c r="BK39" s="290"/>
      <c r="BL39" s="290"/>
      <c r="BM39" s="290"/>
      <c r="BN39" s="207"/>
      <c r="BO39" s="207"/>
      <c r="BP39" s="290"/>
      <c r="BQ39" s="290"/>
      <c r="BR39" s="290"/>
      <c r="BS39" s="290"/>
      <c r="BT39" s="290"/>
      <c r="BU39" s="290"/>
      <c r="BV39" s="290"/>
      <c r="BW39" s="290"/>
      <c r="BX39" s="290"/>
      <c r="BY39" s="290"/>
      <c r="BZ39" s="290"/>
      <c r="CA39" s="207"/>
      <c r="CB39" s="207"/>
      <c r="CC39" s="290"/>
      <c r="CD39" s="290"/>
      <c r="CE39" s="290"/>
      <c r="CF39" s="290"/>
      <c r="CG39" s="290"/>
      <c r="CH39" s="290"/>
      <c r="CI39" s="290"/>
      <c r="CJ39" s="290"/>
      <c r="CK39" s="290"/>
      <c r="CL39" s="290"/>
      <c r="CM39" s="290"/>
      <c r="CN39" s="207"/>
      <c r="CO39" s="207"/>
      <c r="CP39" s="290"/>
      <c r="CQ39" s="290"/>
      <c r="CR39" s="290"/>
      <c r="CS39" s="290"/>
      <c r="CT39" s="290"/>
      <c r="CU39" s="290"/>
      <c r="CV39" s="290"/>
      <c r="CW39" s="290"/>
      <c r="CX39" s="290"/>
      <c r="CY39" s="290"/>
      <c r="CZ39" s="290"/>
      <c r="DA39" s="207"/>
      <c r="DB39" s="207"/>
      <c r="DC39" s="290"/>
      <c r="DD39" s="290"/>
      <c r="DE39" s="290"/>
      <c r="DF39" s="290"/>
      <c r="DG39" s="290"/>
      <c r="DH39" s="290"/>
      <c r="DI39" s="290"/>
      <c r="DJ39" s="290"/>
      <c r="DK39" s="290"/>
      <c r="DL39" s="290"/>
      <c r="DM39" s="290"/>
      <c r="DN39" s="207"/>
      <c r="DO39" s="207"/>
      <c r="DP39" s="290"/>
      <c r="DQ39" s="290"/>
      <c r="DR39" s="290"/>
      <c r="DS39" s="290"/>
      <c r="DT39" s="290"/>
      <c r="DU39" s="290"/>
      <c r="DV39" s="290"/>
      <c r="DW39" s="290"/>
      <c r="DX39" s="290"/>
      <c r="DY39" s="290"/>
      <c r="DZ39" s="290"/>
      <c r="EA39" s="207"/>
      <c r="EB39" s="207"/>
      <c r="EC39" s="290"/>
      <c r="ED39" s="290"/>
      <c r="EE39" s="290"/>
      <c r="EF39" s="290"/>
      <c r="EG39" s="290"/>
      <c r="EH39" s="290"/>
      <c r="EI39" s="290"/>
      <c r="EJ39" s="290"/>
      <c r="EK39" s="290"/>
      <c r="EL39" s="290"/>
      <c r="EM39" s="290"/>
      <c r="EN39" s="207"/>
      <c r="EO39" s="207"/>
      <c r="EP39" s="290"/>
      <c r="EQ39" s="290"/>
      <c r="ER39" s="290"/>
      <c r="ES39" s="290"/>
      <c r="ET39" s="290"/>
      <c r="EU39" s="290"/>
      <c r="EV39" s="290"/>
      <c r="EW39" s="290"/>
      <c r="EX39" s="290"/>
      <c r="EY39" s="290"/>
      <c r="EZ39" s="290"/>
      <c r="FA39" s="207"/>
      <c r="FB39" s="207"/>
      <c r="FC39" s="290"/>
      <c r="FD39" s="290"/>
      <c r="FE39" s="290"/>
      <c r="FF39" s="290"/>
      <c r="FG39" s="290"/>
      <c r="FH39" s="290"/>
      <c r="FI39" s="290"/>
      <c r="FJ39" s="290"/>
      <c r="FK39" s="290"/>
      <c r="FL39" s="290"/>
      <c r="FM39" s="290"/>
      <c r="FN39" s="207"/>
      <c r="FO39" s="207"/>
      <c r="FP39" s="290"/>
      <c r="FQ39" s="290"/>
      <c r="FR39" s="290"/>
      <c r="FS39" s="290"/>
      <c r="FT39" s="290"/>
      <c r="FU39" s="290"/>
      <c r="FV39" s="290"/>
      <c r="FW39" s="290"/>
      <c r="FX39" s="290"/>
      <c r="FY39" s="290"/>
      <c r="FZ39" s="290"/>
      <c r="GA39" s="207"/>
      <c r="GB39" s="207"/>
      <c r="GC39" s="290"/>
      <c r="GD39" s="290"/>
      <c r="GE39" s="290"/>
      <c r="GF39" s="290"/>
      <c r="GG39" s="290"/>
      <c r="GH39" s="290"/>
      <c r="GI39" s="290"/>
      <c r="GJ39" s="290"/>
      <c r="GK39" s="290"/>
      <c r="GL39" s="290"/>
      <c r="GM39" s="290"/>
      <c r="GN39" s="207"/>
      <c r="GO39" s="207"/>
      <c r="GP39" s="290"/>
      <c r="GQ39" s="290"/>
      <c r="GR39" s="290"/>
      <c r="GS39" s="290"/>
      <c r="GT39" s="290"/>
      <c r="GU39" s="290"/>
      <c r="GV39" s="290"/>
      <c r="GW39" s="290"/>
      <c r="GX39" s="290"/>
      <c r="GY39" s="290"/>
      <c r="GZ39" s="290"/>
      <c r="HA39" s="207"/>
      <c r="HB39" s="207"/>
      <c r="HC39" s="290"/>
      <c r="HD39" s="290"/>
      <c r="HE39" s="290"/>
      <c r="HF39" s="290"/>
      <c r="HG39" s="290"/>
      <c r="HH39" s="290"/>
      <c r="HI39" s="290"/>
      <c r="HJ39" s="290"/>
      <c r="HK39" s="290"/>
      <c r="HL39" s="290"/>
      <c r="HM39" s="290"/>
      <c r="HN39" s="207"/>
      <c r="HO39" s="207"/>
      <c r="HP39" s="290"/>
      <c r="HQ39" s="290"/>
      <c r="HR39" s="290"/>
      <c r="HS39" s="290"/>
      <c r="HT39" s="290"/>
      <c r="HU39" s="290"/>
      <c r="HV39" s="290"/>
      <c r="HW39" s="290"/>
      <c r="HX39" s="290"/>
      <c r="HY39" s="290"/>
      <c r="HZ39" s="290"/>
      <c r="IA39" s="207"/>
      <c r="IB39" s="207"/>
      <c r="IC39" s="290"/>
      <c r="ID39" s="290"/>
      <c r="IE39" s="290"/>
      <c r="IF39" s="290"/>
      <c r="IG39" s="290"/>
      <c r="IH39" s="290"/>
      <c r="II39" s="290"/>
      <c r="IJ39" s="290"/>
      <c r="IK39" s="290"/>
      <c r="IL39" s="290"/>
      <c r="IM39" s="290"/>
      <c r="IN39" s="207"/>
      <c r="IO39" s="207"/>
      <c r="IP39" s="290"/>
      <c r="IQ39" s="290"/>
      <c r="IR39" s="290"/>
      <c r="IS39" s="290"/>
      <c r="IT39" s="290"/>
      <c r="IU39" s="290"/>
      <c r="IV39" s="290"/>
    </row>
    <row r="40" spans="1:256" x14ac:dyDescent="0.2">
      <c r="A40" s="218"/>
      <c r="B40" s="219"/>
      <c r="C40" s="285"/>
      <c r="D40" s="285"/>
      <c r="E40" s="285"/>
      <c r="F40" s="285"/>
      <c r="G40" s="285"/>
      <c r="H40" s="285"/>
      <c r="I40" s="285"/>
      <c r="J40" s="285"/>
      <c r="K40" s="285"/>
      <c r="L40" s="285"/>
      <c r="M40" s="286"/>
      <c r="N40" s="211"/>
      <c r="O40" s="211"/>
      <c r="P40" s="291"/>
      <c r="Q40" s="291"/>
      <c r="R40" s="291"/>
      <c r="S40" s="291"/>
      <c r="T40" s="291"/>
      <c r="U40" s="291"/>
      <c r="V40" s="291"/>
      <c r="W40" s="291"/>
      <c r="X40" s="291"/>
      <c r="Y40" s="291"/>
      <c r="Z40" s="291"/>
      <c r="AA40" s="207"/>
      <c r="AB40" s="207"/>
      <c r="AC40" s="290"/>
      <c r="AD40" s="290"/>
      <c r="AE40" s="290"/>
      <c r="AF40" s="290"/>
      <c r="AG40" s="290"/>
      <c r="AH40" s="290"/>
      <c r="AI40" s="290"/>
      <c r="AJ40" s="290"/>
      <c r="AK40" s="290"/>
      <c r="AL40" s="290"/>
      <c r="AM40" s="290"/>
      <c r="AN40" s="207"/>
      <c r="AO40" s="207"/>
      <c r="AP40" s="290"/>
      <c r="AQ40" s="290"/>
      <c r="AR40" s="290"/>
      <c r="AS40" s="290"/>
      <c r="AT40" s="290"/>
      <c r="AU40" s="290"/>
      <c r="AV40" s="290"/>
      <c r="AW40" s="290"/>
      <c r="AX40" s="290"/>
      <c r="AY40" s="290"/>
      <c r="AZ40" s="290"/>
      <c r="BA40" s="207"/>
      <c r="BB40" s="207"/>
      <c r="BC40" s="290"/>
      <c r="BD40" s="290"/>
      <c r="BE40" s="290"/>
      <c r="BF40" s="290"/>
      <c r="BG40" s="290"/>
      <c r="BH40" s="290"/>
      <c r="BI40" s="290"/>
      <c r="BJ40" s="290"/>
      <c r="BK40" s="290"/>
      <c r="BL40" s="290"/>
      <c r="BM40" s="290"/>
      <c r="BN40" s="207"/>
      <c r="BO40" s="207"/>
      <c r="BP40" s="290"/>
      <c r="BQ40" s="290"/>
      <c r="BR40" s="290"/>
      <c r="BS40" s="290"/>
      <c r="BT40" s="290"/>
      <c r="BU40" s="290"/>
      <c r="BV40" s="290"/>
      <c r="BW40" s="290"/>
      <c r="BX40" s="290"/>
      <c r="BY40" s="290"/>
      <c r="BZ40" s="290"/>
      <c r="CA40" s="207"/>
      <c r="CB40" s="207"/>
      <c r="CC40" s="290"/>
      <c r="CD40" s="290"/>
      <c r="CE40" s="290"/>
      <c r="CF40" s="290"/>
      <c r="CG40" s="290"/>
      <c r="CH40" s="290"/>
      <c r="CI40" s="290"/>
      <c r="CJ40" s="290"/>
      <c r="CK40" s="290"/>
      <c r="CL40" s="290"/>
      <c r="CM40" s="290"/>
      <c r="CN40" s="207"/>
      <c r="CO40" s="207"/>
      <c r="CP40" s="290"/>
      <c r="CQ40" s="290"/>
      <c r="CR40" s="290"/>
      <c r="CS40" s="290"/>
      <c r="CT40" s="290"/>
      <c r="CU40" s="290"/>
      <c r="CV40" s="290"/>
      <c r="CW40" s="290"/>
      <c r="CX40" s="290"/>
      <c r="CY40" s="290"/>
      <c r="CZ40" s="290"/>
      <c r="DA40" s="207"/>
      <c r="DB40" s="207"/>
      <c r="DC40" s="290"/>
      <c r="DD40" s="290"/>
      <c r="DE40" s="290"/>
      <c r="DF40" s="290"/>
      <c r="DG40" s="290"/>
      <c r="DH40" s="290"/>
      <c r="DI40" s="290"/>
      <c r="DJ40" s="290"/>
      <c r="DK40" s="290"/>
      <c r="DL40" s="290"/>
      <c r="DM40" s="290"/>
      <c r="DN40" s="207"/>
      <c r="DO40" s="207"/>
      <c r="DP40" s="290"/>
      <c r="DQ40" s="290"/>
      <c r="DR40" s="290"/>
      <c r="DS40" s="290"/>
      <c r="DT40" s="290"/>
      <c r="DU40" s="290"/>
      <c r="DV40" s="290"/>
      <c r="DW40" s="290"/>
      <c r="DX40" s="290"/>
      <c r="DY40" s="290"/>
      <c r="DZ40" s="290"/>
      <c r="EA40" s="207"/>
      <c r="EB40" s="207"/>
      <c r="EC40" s="290"/>
      <c r="ED40" s="290"/>
      <c r="EE40" s="290"/>
      <c r="EF40" s="290"/>
      <c r="EG40" s="290"/>
      <c r="EH40" s="290"/>
      <c r="EI40" s="290"/>
      <c r="EJ40" s="290"/>
      <c r="EK40" s="290"/>
      <c r="EL40" s="290"/>
      <c r="EM40" s="290"/>
      <c r="EN40" s="207"/>
      <c r="EO40" s="207"/>
      <c r="EP40" s="290"/>
      <c r="EQ40" s="290"/>
      <c r="ER40" s="290"/>
      <c r="ES40" s="290"/>
      <c r="ET40" s="290"/>
      <c r="EU40" s="290"/>
      <c r="EV40" s="290"/>
      <c r="EW40" s="290"/>
      <c r="EX40" s="290"/>
      <c r="EY40" s="290"/>
      <c r="EZ40" s="290"/>
      <c r="FA40" s="207"/>
      <c r="FB40" s="207"/>
      <c r="FC40" s="290"/>
      <c r="FD40" s="290"/>
      <c r="FE40" s="290"/>
      <c r="FF40" s="290"/>
      <c r="FG40" s="290"/>
      <c r="FH40" s="290"/>
      <c r="FI40" s="290"/>
      <c r="FJ40" s="290"/>
      <c r="FK40" s="290"/>
      <c r="FL40" s="290"/>
      <c r="FM40" s="290"/>
      <c r="FN40" s="207"/>
      <c r="FO40" s="207"/>
      <c r="FP40" s="290"/>
      <c r="FQ40" s="290"/>
      <c r="FR40" s="290"/>
      <c r="FS40" s="290"/>
      <c r="FT40" s="290"/>
      <c r="FU40" s="290"/>
      <c r="FV40" s="290"/>
      <c r="FW40" s="290"/>
      <c r="FX40" s="290"/>
      <c r="FY40" s="290"/>
      <c r="FZ40" s="290"/>
      <c r="GA40" s="207"/>
      <c r="GB40" s="207"/>
      <c r="GC40" s="290"/>
      <c r="GD40" s="290"/>
      <c r="GE40" s="290"/>
      <c r="GF40" s="290"/>
      <c r="GG40" s="290"/>
      <c r="GH40" s="290"/>
      <c r="GI40" s="290"/>
      <c r="GJ40" s="290"/>
      <c r="GK40" s="290"/>
      <c r="GL40" s="290"/>
      <c r="GM40" s="290"/>
      <c r="GN40" s="207"/>
      <c r="GO40" s="207"/>
      <c r="GP40" s="290"/>
      <c r="GQ40" s="290"/>
      <c r="GR40" s="290"/>
      <c r="GS40" s="290"/>
      <c r="GT40" s="290"/>
      <c r="GU40" s="290"/>
      <c r="GV40" s="290"/>
      <c r="GW40" s="290"/>
      <c r="GX40" s="290"/>
      <c r="GY40" s="290"/>
      <c r="GZ40" s="290"/>
      <c r="HA40" s="207"/>
      <c r="HB40" s="207"/>
      <c r="HC40" s="290"/>
      <c r="HD40" s="290"/>
      <c r="HE40" s="290"/>
      <c r="HF40" s="290"/>
      <c r="HG40" s="290"/>
      <c r="HH40" s="290"/>
      <c r="HI40" s="290"/>
      <c r="HJ40" s="290"/>
      <c r="HK40" s="290"/>
      <c r="HL40" s="290"/>
      <c r="HM40" s="290"/>
      <c r="HN40" s="207"/>
      <c r="HO40" s="207"/>
      <c r="HP40" s="290"/>
      <c r="HQ40" s="290"/>
      <c r="HR40" s="290"/>
      <c r="HS40" s="290"/>
      <c r="HT40" s="290"/>
      <c r="HU40" s="290"/>
      <c r="HV40" s="290"/>
      <c r="HW40" s="290"/>
      <c r="HX40" s="290"/>
      <c r="HY40" s="290"/>
      <c r="HZ40" s="290"/>
      <c r="IA40" s="207"/>
      <c r="IB40" s="207"/>
      <c r="IC40" s="290"/>
      <c r="ID40" s="290"/>
      <c r="IE40" s="290"/>
      <c r="IF40" s="290"/>
      <c r="IG40" s="290"/>
      <c r="IH40" s="290"/>
      <c r="II40" s="290"/>
      <c r="IJ40" s="290"/>
      <c r="IK40" s="290"/>
      <c r="IL40" s="290"/>
      <c r="IM40" s="290"/>
      <c r="IN40" s="207"/>
      <c r="IO40" s="207"/>
      <c r="IP40" s="290"/>
      <c r="IQ40" s="290"/>
      <c r="IR40" s="290"/>
      <c r="IS40" s="290"/>
      <c r="IT40" s="290"/>
      <c r="IU40" s="290"/>
      <c r="IV40" s="290"/>
    </row>
    <row r="41" spans="1:256" x14ac:dyDescent="0.2">
      <c r="A41" s="218"/>
      <c r="B41" s="219"/>
      <c r="C41" s="285"/>
      <c r="D41" s="285"/>
      <c r="E41" s="285"/>
      <c r="F41" s="285"/>
      <c r="G41" s="285"/>
      <c r="H41" s="285"/>
      <c r="I41" s="285"/>
      <c r="J41" s="285"/>
      <c r="K41" s="285"/>
      <c r="L41" s="285"/>
      <c r="M41" s="286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5"/>
      <c r="D42" s="285"/>
      <c r="E42" s="285"/>
      <c r="F42" s="285"/>
      <c r="G42" s="285"/>
      <c r="H42" s="285"/>
      <c r="I42" s="285"/>
      <c r="J42" s="285"/>
      <c r="K42" s="285"/>
      <c r="L42" s="285"/>
      <c r="M42" s="286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5"/>
      <c r="D43" s="285"/>
      <c r="E43" s="285"/>
      <c r="F43" s="285"/>
      <c r="G43" s="285"/>
      <c r="H43" s="285"/>
      <c r="I43" s="285"/>
      <c r="J43" s="285"/>
      <c r="K43" s="285"/>
      <c r="L43" s="285"/>
      <c r="M43" s="286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5"/>
      <c r="D44" s="285"/>
      <c r="E44" s="285"/>
      <c r="F44" s="285"/>
      <c r="G44" s="285"/>
      <c r="H44" s="285"/>
      <c r="I44" s="285"/>
      <c r="J44" s="285"/>
      <c r="K44" s="285"/>
      <c r="L44" s="285"/>
      <c r="M44" s="286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5"/>
      <c r="D45" s="285"/>
      <c r="E45" s="285"/>
      <c r="F45" s="285"/>
      <c r="G45" s="285"/>
      <c r="H45" s="285"/>
      <c r="I45" s="285"/>
      <c r="J45" s="285"/>
      <c r="K45" s="285"/>
      <c r="L45" s="285"/>
      <c r="M45" s="286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5"/>
      <c r="D46" s="285"/>
      <c r="E46" s="285"/>
      <c r="F46" s="285"/>
      <c r="G46" s="285"/>
      <c r="H46" s="285"/>
      <c r="I46" s="285"/>
      <c r="J46" s="285"/>
      <c r="K46" s="285"/>
      <c r="L46" s="285"/>
      <c r="M46" s="286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5"/>
      <c r="D47" s="285"/>
      <c r="E47" s="285"/>
      <c r="F47" s="285"/>
      <c r="G47" s="285"/>
      <c r="H47" s="285"/>
      <c r="I47" s="285"/>
      <c r="J47" s="285"/>
      <c r="K47" s="285"/>
      <c r="L47" s="285"/>
      <c r="M47" s="286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5"/>
      <c r="D48" s="285"/>
      <c r="E48" s="285"/>
      <c r="F48" s="285"/>
      <c r="G48" s="285"/>
      <c r="H48" s="285"/>
      <c r="I48" s="285"/>
      <c r="J48" s="285"/>
      <c r="K48" s="285"/>
      <c r="L48" s="285"/>
      <c r="M48" s="286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5"/>
      <c r="D49" s="285"/>
      <c r="E49" s="285"/>
      <c r="F49" s="285"/>
      <c r="G49" s="285"/>
      <c r="H49" s="285"/>
      <c r="I49" s="285"/>
      <c r="J49" s="285"/>
      <c r="K49" s="285"/>
      <c r="L49" s="285"/>
      <c r="M49" s="286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5"/>
      <c r="D50" s="285"/>
      <c r="E50" s="285"/>
      <c r="F50" s="285"/>
      <c r="G50" s="285"/>
      <c r="H50" s="285"/>
      <c r="I50" s="285"/>
      <c r="J50" s="285"/>
      <c r="K50" s="285"/>
      <c r="L50" s="285"/>
      <c r="M50" s="28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5"/>
      <c r="D51" s="285"/>
      <c r="E51" s="285"/>
      <c r="F51" s="285"/>
      <c r="G51" s="285"/>
      <c r="H51" s="285"/>
      <c r="I51" s="285"/>
      <c r="J51" s="285"/>
      <c r="K51" s="285"/>
      <c r="L51" s="285"/>
      <c r="M51" s="286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5"/>
      <c r="D52" s="285"/>
      <c r="E52" s="285"/>
      <c r="F52" s="285"/>
      <c r="G52" s="285"/>
      <c r="H52" s="285"/>
      <c r="I52" s="285"/>
      <c r="J52" s="285"/>
      <c r="K52" s="285"/>
      <c r="L52" s="285"/>
      <c r="M52" s="286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5"/>
      <c r="D53" s="285"/>
      <c r="E53" s="285"/>
      <c r="F53" s="285"/>
      <c r="G53" s="285"/>
      <c r="H53" s="285"/>
      <c r="I53" s="285"/>
      <c r="J53" s="285"/>
      <c r="K53" s="285"/>
      <c r="L53" s="285"/>
      <c r="M53" s="286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5"/>
      <c r="D54" s="285"/>
      <c r="E54" s="285"/>
      <c r="F54" s="285"/>
      <c r="G54" s="285"/>
      <c r="H54" s="285"/>
      <c r="I54" s="285"/>
      <c r="J54" s="285"/>
      <c r="K54" s="285"/>
      <c r="L54" s="285"/>
      <c r="M54" s="28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5"/>
      <c r="D55" s="285"/>
      <c r="E55" s="285"/>
      <c r="F55" s="285"/>
      <c r="G55" s="285"/>
      <c r="H55" s="285"/>
      <c r="I55" s="285"/>
      <c r="J55" s="285"/>
      <c r="K55" s="285"/>
      <c r="L55" s="285"/>
      <c r="M55" s="286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5"/>
      <c r="D56" s="285"/>
      <c r="E56" s="285"/>
      <c r="F56" s="285"/>
      <c r="G56" s="285"/>
      <c r="H56" s="285"/>
      <c r="I56" s="285"/>
      <c r="J56" s="285"/>
      <c r="K56" s="285"/>
      <c r="L56" s="285"/>
      <c r="M56" s="286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5"/>
      <c r="D57" s="285"/>
      <c r="E57" s="285"/>
      <c r="F57" s="285"/>
      <c r="G57" s="285"/>
      <c r="H57" s="285"/>
      <c r="I57" s="285"/>
      <c r="J57" s="285"/>
      <c r="K57" s="285"/>
      <c r="L57" s="285"/>
      <c r="M57" s="286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5"/>
      <c r="D58" s="285"/>
      <c r="E58" s="285"/>
      <c r="F58" s="285"/>
      <c r="G58" s="285"/>
      <c r="H58" s="285"/>
      <c r="I58" s="285"/>
      <c r="J58" s="285"/>
      <c r="K58" s="285"/>
      <c r="L58" s="285"/>
      <c r="M58" s="286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5"/>
      <c r="D59" s="285"/>
      <c r="E59" s="285"/>
      <c r="F59" s="285"/>
      <c r="G59" s="285"/>
      <c r="H59" s="285"/>
      <c r="I59" s="285"/>
      <c r="J59" s="285"/>
      <c r="K59" s="285"/>
      <c r="L59" s="285"/>
      <c r="M59" s="286"/>
    </row>
    <row r="60" spans="1:256" x14ac:dyDescent="0.2">
      <c r="A60" s="218"/>
      <c r="B60" s="219"/>
      <c r="C60" s="285"/>
      <c r="D60" s="285"/>
      <c r="E60" s="285"/>
      <c r="F60" s="285"/>
      <c r="G60" s="285"/>
      <c r="H60" s="285"/>
      <c r="I60" s="285"/>
      <c r="J60" s="285"/>
      <c r="K60" s="285"/>
      <c r="L60" s="285"/>
      <c r="M60" s="286"/>
    </row>
    <row r="61" spans="1:256" x14ac:dyDescent="0.2">
      <c r="A61" s="218"/>
      <c r="B61" s="219"/>
      <c r="C61" s="285"/>
      <c r="D61" s="285"/>
      <c r="E61" s="285"/>
      <c r="F61" s="285"/>
      <c r="G61" s="285"/>
      <c r="H61" s="285"/>
      <c r="I61" s="285"/>
      <c r="J61" s="285"/>
      <c r="K61" s="285"/>
      <c r="L61" s="285"/>
      <c r="M61" s="286"/>
    </row>
    <row r="62" spans="1:256" x14ac:dyDescent="0.2">
      <c r="A62" s="218"/>
      <c r="B62" s="219"/>
      <c r="C62" s="285"/>
      <c r="D62" s="285"/>
      <c r="E62" s="285"/>
      <c r="F62" s="285"/>
      <c r="G62" s="285"/>
      <c r="H62" s="285"/>
      <c r="I62" s="285"/>
      <c r="J62" s="285"/>
      <c r="K62" s="285"/>
      <c r="L62" s="285"/>
      <c r="M62" s="286"/>
    </row>
    <row r="63" spans="1:256" x14ac:dyDescent="0.2">
      <c r="A63" s="218"/>
      <c r="B63" s="219"/>
      <c r="C63" s="285"/>
      <c r="D63" s="285"/>
      <c r="E63" s="285"/>
      <c r="F63" s="285"/>
      <c r="G63" s="285"/>
      <c r="H63" s="285"/>
      <c r="I63" s="285"/>
      <c r="J63" s="285"/>
      <c r="K63" s="285"/>
      <c r="L63" s="285"/>
      <c r="M63" s="286"/>
    </row>
    <row r="64" spans="1:256" x14ac:dyDescent="0.2">
      <c r="A64" s="218"/>
      <c r="B64" s="219"/>
      <c r="C64" s="285"/>
      <c r="D64" s="285"/>
      <c r="E64" s="285"/>
      <c r="F64" s="285"/>
      <c r="G64" s="285"/>
      <c r="H64" s="285"/>
      <c r="I64" s="285"/>
      <c r="J64" s="285"/>
      <c r="K64" s="285"/>
      <c r="L64" s="285"/>
      <c r="M64" s="286"/>
    </row>
    <row r="65" spans="1:13" x14ac:dyDescent="0.2">
      <c r="A65" s="218"/>
      <c r="B65" s="219"/>
      <c r="C65" s="285"/>
      <c r="D65" s="285"/>
      <c r="E65" s="285"/>
      <c r="F65" s="285"/>
      <c r="G65" s="285"/>
      <c r="H65" s="285"/>
      <c r="I65" s="285"/>
      <c r="J65" s="285"/>
      <c r="K65" s="285"/>
      <c r="L65" s="285"/>
      <c r="M65" s="286"/>
    </row>
    <row r="66" spans="1:13" x14ac:dyDescent="0.2">
      <c r="A66" s="218"/>
      <c r="B66" s="219"/>
      <c r="C66" s="285"/>
      <c r="D66" s="285"/>
      <c r="E66" s="285"/>
      <c r="F66" s="285"/>
      <c r="G66" s="285"/>
      <c r="H66" s="285"/>
      <c r="I66" s="285"/>
      <c r="J66" s="285"/>
      <c r="K66" s="285"/>
      <c r="L66" s="285"/>
      <c r="M66" s="286"/>
    </row>
    <row r="67" spans="1:13" x14ac:dyDescent="0.2">
      <c r="A67" s="218"/>
      <c r="B67" s="219"/>
      <c r="C67" s="285"/>
      <c r="D67" s="285"/>
      <c r="E67" s="285"/>
      <c r="F67" s="285"/>
      <c r="G67" s="285"/>
      <c r="H67" s="285"/>
      <c r="I67" s="285"/>
      <c r="J67" s="285"/>
      <c r="K67" s="285"/>
      <c r="L67" s="285"/>
      <c r="M67" s="286"/>
    </row>
    <row r="68" spans="1:13" x14ac:dyDescent="0.2">
      <c r="A68" s="218"/>
      <c r="B68" s="219"/>
      <c r="C68" s="285"/>
      <c r="D68" s="285"/>
      <c r="E68" s="285"/>
      <c r="F68" s="285"/>
      <c r="G68" s="285"/>
      <c r="H68" s="285"/>
      <c r="I68" s="285"/>
      <c r="J68" s="285"/>
      <c r="K68" s="285"/>
      <c r="L68" s="285"/>
      <c r="M68" s="286"/>
    </row>
    <row r="69" spans="1:13" x14ac:dyDescent="0.2">
      <c r="A69" s="218"/>
      <c r="B69" s="219"/>
      <c r="C69" s="285"/>
      <c r="D69" s="285"/>
      <c r="E69" s="285"/>
      <c r="F69" s="285"/>
      <c r="G69" s="285"/>
      <c r="H69" s="285"/>
      <c r="I69" s="285"/>
      <c r="J69" s="285"/>
      <c r="K69" s="285"/>
      <c r="L69" s="285"/>
      <c r="M69" s="286"/>
    </row>
    <row r="70" spans="1:13" ht="12" thickBot="1" x14ac:dyDescent="0.25">
      <c r="A70" s="220"/>
      <c r="B70" s="221"/>
      <c r="C70" s="287"/>
      <c r="D70" s="287"/>
      <c r="E70" s="287"/>
      <c r="F70" s="287"/>
      <c r="G70" s="287"/>
      <c r="H70" s="287"/>
      <c r="I70" s="287"/>
      <c r="J70" s="287"/>
      <c r="K70" s="287"/>
      <c r="L70" s="287"/>
      <c r="M70" s="288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89" t="s">
        <v>848</v>
      </c>
      <c r="B72" s="289"/>
      <c r="C72" s="289"/>
      <c r="D72" s="289"/>
      <c r="E72" s="289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84"/>
      <c r="D73" s="284"/>
      <c r="E73" s="284"/>
      <c r="F73" s="284"/>
      <c r="G73" s="284"/>
      <c r="H73" s="284"/>
      <c r="I73" s="284"/>
      <c r="J73" s="284"/>
      <c r="K73" s="284"/>
      <c r="L73" s="284"/>
      <c r="M73" s="284"/>
    </row>
    <row r="74" spans="1:13" x14ac:dyDescent="0.2">
      <c r="A74" s="211"/>
      <c r="B74" s="211"/>
      <c r="C74" s="284"/>
      <c r="D74" s="284"/>
      <c r="E74" s="284"/>
      <c r="F74" s="284"/>
      <c r="G74" s="284"/>
      <c r="H74" s="284"/>
      <c r="I74" s="284"/>
      <c r="J74" s="284"/>
      <c r="K74" s="284"/>
      <c r="L74" s="284"/>
      <c r="M74" s="284"/>
    </row>
    <row r="75" spans="1:13" x14ac:dyDescent="0.2">
      <c r="A75" s="211"/>
      <c r="B75" s="211"/>
      <c r="C75" s="284"/>
      <c r="D75" s="284"/>
      <c r="E75" s="284"/>
      <c r="F75" s="284"/>
      <c r="G75" s="284"/>
      <c r="H75" s="284"/>
      <c r="I75" s="284"/>
      <c r="J75" s="284"/>
      <c r="K75" s="284"/>
      <c r="L75" s="284"/>
      <c r="M75" s="284"/>
    </row>
    <row r="76" spans="1:13" x14ac:dyDescent="0.2">
      <c r="A76" s="211"/>
      <c r="B76" s="211"/>
      <c r="C76" s="284"/>
      <c r="D76" s="284"/>
      <c r="E76" s="284"/>
      <c r="F76" s="284"/>
      <c r="G76" s="284"/>
      <c r="H76" s="284"/>
      <c r="I76" s="284"/>
      <c r="J76" s="284"/>
      <c r="K76" s="284"/>
      <c r="L76" s="284"/>
      <c r="M76" s="284"/>
    </row>
    <row r="77" spans="1:13" x14ac:dyDescent="0.2">
      <c r="A77" s="211"/>
      <c r="B77" s="211"/>
      <c r="C77" s="284"/>
      <c r="D77" s="284"/>
      <c r="E77" s="284"/>
      <c r="F77" s="284"/>
      <c r="G77" s="284"/>
      <c r="H77" s="284"/>
      <c r="I77" s="284"/>
      <c r="J77" s="284"/>
      <c r="K77" s="284"/>
      <c r="L77" s="284"/>
      <c r="M77" s="284"/>
    </row>
    <row r="78" spans="1:13" x14ac:dyDescent="0.2">
      <c r="A78" s="211"/>
      <c r="B78" s="211"/>
      <c r="C78" s="284"/>
      <c r="D78" s="284"/>
      <c r="E78" s="284"/>
      <c r="F78" s="284"/>
      <c r="G78" s="284"/>
      <c r="H78" s="284"/>
      <c r="I78" s="284"/>
      <c r="J78" s="284"/>
      <c r="K78" s="284"/>
      <c r="L78" s="284"/>
      <c r="M78" s="284"/>
    </row>
    <row r="79" spans="1:13" x14ac:dyDescent="0.2">
      <c r="A79" s="211"/>
      <c r="B79" s="211"/>
      <c r="C79" s="284"/>
      <c r="D79" s="284"/>
      <c r="E79" s="284"/>
      <c r="F79" s="284"/>
      <c r="G79" s="284"/>
      <c r="H79" s="284"/>
      <c r="I79" s="284"/>
      <c r="J79" s="284"/>
      <c r="K79" s="284"/>
      <c r="L79" s="284"/>
      <c r="M79" s="284"/>
    </row>
    <row r="80" spans="1:13" x14ac:dyDescent="0.2">
      <c r="A80" s="211"/>
      <c r="B80" s="211"/>
      <c r="C80" s="284"/>
      <c r="D80" s="284"/>
      <c r="E80" s="284"/>
      <c r="F80" s="284"/>
      <c r="G80" s="284"/>
      <c r="H80" s="284"/>
      <c r="I80" s="284"/>
      <c r="J80" s="284"/>
      <c r="K80" s="284"/>
      <c r="L80" s="284"/>
      <c r="M80" s="284"/>
    </row>
    <row r="81" spans="1:13" x14ac:dyDescent="0.2">
      <c r="A81" s="211"/>
      <c r="B81" s="211"/>
      <c r="C81" s="284"/>
      <c r="D81" s="284"/>
      <c r="E81" s="284"/>
      <c r="F81" s="284"/>
      <c r="G81" s="284"/>
      <c r="H81" s="284"/>
      <c r="I81" s="284"/>
      <c r="J81" s="284"/>
      <c r="K81" s="284"/>
      <c r="L81" s="284"/>
      <c r="M81" s="284"/>
    </row>
    <row r="82" spans="1:13" x14ac:dyDescent="0.2">
      <c r="A82" s="211"/>
      <c r="B82" s="211"/>
      <c r="C82" s="284"/>
      <c r="D82" s="284"/>
      <c r="E82" s="284"/>
      <c r="F82" s="284"/>
      <c r="G82" s="284"/>
      <c r="H82" s="284"/>
      <c r="I82" s="284"/>
      <c r="J82" s="284"/>
      <c r="K82" s="284"/>
      <c r="L82" s="284"/>
      <c r="M82" s="284"/>
    </row>
    <row r="83" spans="1:13" x14ac:dyDescent="0.2">
      <c r="A83" s="211"/>
      <c r="B83" s="211"/>
      <c r="C83" s="284"/>
      <c r="D83" s="284"/>
      <c r="E83" s="284"/>
      <c r="F83" s="284"/>
      <c r="G83" s="284"/>
      <c r="H83" s="284"/>
      <c r="I83" s="284"/>
      <c r="J83" s="284"/>
      <c r="K83" s="284"/>
      <c r="L83" s="284"/>
      <c r="M83" s="284"/>
    </row>
    <row r="84" spans="1:13" x14ac:dyDescent="0.2">
      <c r="A84" s="211"/>
      <c r="B84" s="211"/>
      <c r="C84" s="284"/>
      <c r="D84" s="284"/>
      <c r="E84" s="284"/>
      <c r="F84" s="284"/>
      <c r="G84" s="284"/>
      <c r="H84" s="284"/>
      <c r="I84" s="284"/>
      <c r="J84" s="284"/>
      <c r="K84" s="284"/>
      <c r="L84" s="284"/>
      <c r="M84" s="284"/>
    </row>
    <row r="85" spans="1:13" x14ac:dyDescent="0.2">
      <c r="A85" s="211"/>
      <c r="B85" s="211"/>
      <c r="C85" s="284"/>
      <c r="D85" s="284"/>
      <c r="E85" s="284"/>
      <c r="F85" s="284"/>
      <c r="G85" s="284"/>
      <c r="H85" s="284"/>
      <c r="I85" s="284"/>
      <c r="J85" s="284"/>
      <c r="K85" s="284"/>
      <c r="L85" s="284"/>
      <c r="M85" s="284"/>
    </row>
    <row r="86" spans="1:13" x14ac:dyDescent="0.2">
      <c r="A86" s="211"/>
      <c r="B86" s="211"/>
      <c r="C86" s="284"/>
      <c r="D86" s="284"/>
      <c r="E86" s="284"/>
      <c r="F86" s="284"/>
      <c r="G86" s="284"/>
      <c r="H86" s="284"/>
      <c r="I86" s="284"/>
      <c r="J86" s="284"/>
      <c r="K86" s="284"/>
      <c r="L86" s="284"/>
      <c r="M86" s="284"/>
    </row>
    <row r="87" spans="1:13" x14ac:dyDescent="0.2">
      <c r="A87" s="211"/>
      <c r="B87" s="211"/>
      <c r="C87" s="284"/>
      <c r="D87" s="284"/>
      <c r="E87" s="284"/>
      <c r="F87" s="284"/>
      <c r="G87" s="284"/>
      <c r="H87" s="284"/>
      <c r="I87" s="284"/>
      <c r="J87" s="284"/>
      <c r="K87" s="284"/>
      <c r="L87" s="284"/>
      <c r="M87" s="284"/>
    </row>
    <row r="88" spans="1:13" x14ac:dyDescent="0.2">
      <c r="A88" s="211"/>
      <c r="B88" s="211"/>
      <c r="C88" s="284"/>
      <c r="D88" s="284"/>
      <c r="E88" s="284"/>
      <c r="F88" s="284"/>
      <c r="G88" s="284"/>
      <c r="H88" s="284"/>
      <c r="I88" s="284"/>
      <c r="J88" s="284"/>
      <c r="K88" s="284"/>
      <c r="L88" s="284"/>
      <c r="M88" s="284"/>
    </row>
    <row r="89" spans="1:13" x14ac:dyDescent="0.2">
      <c r="A89" s="211"/>
      <c r="B89" s="211"/>
      <c r="C89" s="284"/>
      <c r="D89" s="284"/>
      <c r="E89" s="284"/>
      <c r="F89" s="284"/>
      <c r="G89" s="284"/>
      <c r="H89" s="284"/>
      <c r="I89" s="284"/>
      <c r="J89" s="284"/>
      <c r="K89" s="284"/>
      <c r="L89" s="284"/>
      <c r="M89" s="284"/>
    </row>
    <row r="90" spans="1:13" x14ac:dyDescent="0.2">
      <c r="A90" s="211"/>
      <c r="B90" s="211"/>
      <c r="C90" s="284"/>
      <c r="D90" s="284"/>
      <c r="E90" s="284"/>
      <c r="F90" s="284"/>
      <c r="G90" s="284"/>
      <c r="H90" s="284"/>
      <c r="I90" s="284"/>
      <c r="J90" s="284"/>
      <c r="K90" s="284"/>
      <c r="L90" s="284"/>
      <c r="M90" s="284"/>
    </row>
  </sheetData>
  <sheetProtection password="BB0A" sheet="1" objects="1" scenarios="1"/>
  <mergeCells count="221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13:M13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2013-09-05T13:56:04Z</cp:lastPrinted>
  <dcterms:created xsi:type="dcterms:W3CDTF">1997-12-04T19:04:30Z</dcterms:created>
  <dcterms:modified xsi:type="dcterms:W3CDTF">2013-12-05T19:01:29Z</dcterms:modified>
</cp:coreProperties>
</file>