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4" i="2" l="1"/>
  <c r="F472" i="1" l="1"/>
  <c r="F49" i="1"/>
  <c r="F12" i="1"/>
  <c r="G22" i="1"/>
  <c r="G40" i="1"/>
  <c r="G109" i="1"/>
  <c r="G467" i="1"/>
  <c r="F468" i="1" l="1"/>
  <c r="F28" i="1" l="1"/>
  <c r="F24" i="1"/>
  <c r="G24" i="1"/>
  <c r="F48" i="1"/>
  <c r="C47" i="2" l="1"/>
  <c r="F471" i="1" l="1"/>
  <c r="F438" i="1"/>
  <c r="J95" i="1"/>
  <c r="J467" i="1"/>
  <c r="C19" i="12" l="1"/>
  <c r="C20" i="12"/>
  <c r="B19" i="12"/>
  <c r="B20" i="12"/>
  <c r="H527" i="1" l="1"/>
  <c r="H526" i="1"/>
  <c r="H525" i="1"/>
  <c r="J522" i="1"/>
  <c r="I525" i="1"/>
  <c r="I522" i="1"/>
  <c r="I314" i="1"/>
  <c r="I521" i="1"/>
  <c r="J521" i="1"/>
  <c r="H520" i="1"/>
  <c r="I520" i="1"/>
  <c r="J520" i="1"/>
  <c r="H522" i="1" l="1"/>
  <c r="H521" i="1"/>
  <c r="G522" i="1"/>
  <c r="G521" i="1"/>
  <c r="G520" i="1"/>
  <c r="F520" i="1"/>
  <c r="F521" i="1"/>
  <c r="F522" i="1"/>
  <c r="B39" i="12" l="1"/>
  <c r="G217" i="1"/>
  <c r="B37" i="12" l="1"/>
  <c r="B10" i="12"/>
  <c r="B11" i="12"/>
  <c r="J603" i="1" l="1"/>
  <c r="I603" i="1"/>
  <c r="K532" i="1"/>
  <c r="K531" i="1"/>
  <c r="K530" i="1"/>
  <c r="H532" i="1"/>
  <c r="H531" i="1"/>
  <c r="H530" i="1"/>
  <c r="H542" i="1"/>
  <c r="J591" i="1"/>
  <c r="G532" i="1"/>
  <c r="G531" i="1"/>
  <c r="G530" i="1"/>
  <c r="C10" i="12" l="1"/>
  <c r="C11" i="12" l="1"/>
  <c r="G196" i="1" l="1"/>
  <c r="H254" i="1"/>
  <c r="I208" i="1"/>
  <c r="I206" i="1"/>
  <c r="H206" i="1"/>
  <c r="I204" i="1"/>
  <c r="H204" i="1"/>
  <c r="H203" i="1"/>
  <c r="I201" i="1"/>
  <c r="H201" i="1"/>
  <c r="H197" i="1"/>
  <c r="I196" i="1"/>
  <c r="H196" i="1"/>
  <c r="H243" i="1"/>
  <c r="I242" i="1"/>
  <c r="H242" i="1"/>
  <c r="I240" i="1"/>
  <c r="H240" i="1"/>
  <c r="H239" i="1"/>
  <c r="I238" i="1"/>
  <c r="K235" i="1"/>
  <c r="I235" i="1"/>
  <c r="H235" i="1"/>
  <c r="H234" i="1"/>
  <c r="J232" i="1"/>
  <c r="I232" i="1"/>
  <c r="H232" i="1"/>
  <c r="I224" i="1"/>
  <c r="H224" i="1"/>
  <c r="I222" i="1"/>
  <c r="H222" i="1"/>
  <c r="H221" i="1"/>
  <c r="K217" i="1"/>
  <c r="I217" i="1"/>
  <c r="H217" i="1"/>
  <c r="J214" i="1"/>
  <c r="I214" i="1"/>
  <c r="H214" i="1"/>
  <c r="I241" i="1"/>
  <c r="K239" i="1"/>
  <c r="I239" i="1"/>
  <c r="H237" i="1"/>
  <c r="I223" i="1"/>
  <c r="K221" i="1"/>
  <c r="I221" i="1"/>
  <c r="H219" i="1"/>
  <c r="I205" i="1"/>
  <c r="K203" i="1"/>
  <c r="I203" i="1"/>
  <c r="H603" i="1" l="1"/>
  <c r="G232" i="1"/>
  <c r="G214" i="1"/>
  <c r="H241" i="1"/>
  <c r="H223" i="1"/>
  <c r="H205" i="1"/>
  <c r="G239" i="1"/>
  <c r="G221" i="1"/>
  <c r="G203" i="1"/>
  <c r="F239" i="1"/>
  <c r="F221" i="1"/>
  <c r="F203" i="1"/>
  <c r="H202" i="1"/>
  <c r="G238" i="1"/>
  <c r="G220" i="1"/>
  <c r="G202" i="1"/>
  <c r="F238" i="1"/>
  <c r="F220" i="1"/>
  <c r="F202" i="1"/>
  <c r="J201" i="1"/>
  <c r="I237" i="1"/>
  <c r="I219" i="1"/>
  <c r="G237" i="1"/>
  <c r="G219" i="1"/>
  <c r="G201" i="1"/>
  <c r="F237" i="1"/>
  <c r="F219" i="1"/>
  <c r="F201" i="1"/>
  <c r="F664" i="1" l="1"/>
  <c r="H537" i="1" l="1"/>
  <c r="H536" i="1"/>
  <c r="H535" i="1"/>
  <c r="I357" i="1" l="1"/>
  <c r="I359" i="1"/>
  <c r="I358" i="1"/>
  <c r="H359" i="1"/>
  <c r="H358" i="1"/>
  <c r="H357" i="1"/>
  <c r="H153" i="1" l="1"/>
  <c r="H471" i="1"/>
  <c r="I275" i="1"/>
  <c r="H275" i="1" l="1"/>
  <c r="F294" i="1"/>
  <c r="I294" i="1"/>
  <c r="F275" i="1"/>
  <c r="I313" i="1"/>
  <c r="H319" i="1"/>
  <c r="G313" i="1"/>
  <c r="F313" i="1"/>
  <c r="I280" i="1"/>
  <c r="H300" i="1"/>
  <c r="H294" i="1"/>
  <c r="H281" i="1"/>
  <c r="G275" i="1"/>
  <c r="H154" i="1"/>
  <c r="H158" i="1"/>
  <c r="F498" i="1" l="1"/>
  <c r="F497" i="1"/>
  <c r="K260" i="1" l="1"/>
  <c r="K259" i="1"/>
  <c r="H233" i="1"/>
  <c r="H215" i="1"/>
  <c r="H208" i="1"/>
  <c r="J196" i="1"/>
  <c r="H377" i="1" l="1"/>
  <c r="I123" i="1"/>
  <c r="I467" i="1"/>
  <c r="G14" i="1" l="1"/>
  <c r="G13" i="1"/>
  <c r="G96" i="1"/>
  <c r="C37" i="10" l="1"/>
  <c r="F40" i="2" l="1"/>
  <c r="D39" i="2"/>
  <c r="G654" i="1"/>
  <c r="F47" i="2"/>
  <c r="E47" i="2"/>
  <c r="D47" i="2"/>
  <c r="F46" i="2"/>
  <c r="E46" i="2"/>
  <c r="D46" i="2"/>
  <c r="C46" i="2"/>
  <c r="F44" i="2"/>
  <c r="E44" i="2"/>
  <c r="D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L249" i="1"/>
  <c r="L331" i="1"/>
  <c r="C23" i="10" s="1"/>
  <c r="L253" i="1"/>
  <c r="C25" i="10"/>
  <c r="L267" i="1"/>
  <c r="L268" i="1"/>
  <c r="L348" i="1"/>
  <c r="L349" i="1"/>
  <c r="I664" i="1"/>
  <c r="I669" i="1"/>
  <c r="F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E61" i="2" s="1"/>
  <c r="E62" i="2" s="1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2" i="2"/>
  <c r="E112" i="2"/>
  <c r="C113" i="2"/>
  <c r="E113" i="2"/>
  <c r="D114" i="2"/>
  <c r="F114" i="2"/>
  <c r="G114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G50" i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7" i="1" s="1"/>
  <c r="G646" i="1" s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39" i="1"/>
  <c r="H639" i="1"/>
  <c r="G640" i="1"/>
  <c r="H640" i="1"/>
  <c r="G641" i="1"/>
  <c r="H641" i="1"/>
  <c r="G642" i="1"/>
  <c r="H642" i="1"/>
  <c r="G643" i="1"/>
  <c r="H643" i="1"/>
  <c r="H646" i="1"/>
  <c r="G648" i="1"/>
  <c r="G649" i="1"/>
  <c r="G650" i="1"/>
  <c r="G651" i="1"/>
  <c r="H651" i="1"/>
  <c r="G652" i="1"/>
  <c r="H652" i="1"/>
  <c r="G653" i="1"/>
  <c r="H653" i="1"/>
  <c r="H654" i="1"/>
  <c r="J654" i="1" s="1"/>
  <c r="F191" i="1"/>
  <c r="L255" i="1"/>
  <c r="I256" i="1"/>
  <c r="I270" i="1" s="1"/>
  <c r="G163" i="2"/>
  <c r="G159" i="2"/>
  <c r="C18" i="2"/>
  <c r="F31" i="2"/>
  <c r="C26" i="10"/>
  <c r="L327" i="1"/>
  <c r="L350" i="1"/>
  <c r="L289" i="1"/>
  <c r="C69" i="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H111" i="1"/>
  <c r="F111" i="1"/>
  <c r="J640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G337" i="1"/>
  <c r="G351" i="1" s="1"/>
  <c r="F168" i="1"/>
  <c r="J139" i="1"/>
  <c r="F570" i="1"/>
  <c r="I551" i="1"/>
  <c r="K548" i="1"/>
  <c r="K549" i="1"/>
  <c r="G22" i="2"/>
  <c r="K544" i="1"/>
  <c r="J551" i="1"/>
  <c r="H551" i="1"/>
  <c r="C29" i="10"/>
  <c r="H139" i="1"/>
  <c r="L400" i="1"/>
  <c r="C138" i="2" s="1"/>
  <c r="L392" i="1"/>
  <c r="A13" i="12"/>
  <c r="F22" i="13"/>
  <c r="H25" i="13"/>
  <c r="C25" i="13" s="1"/>
  <c r="J639" i="1"/>
  <c r="H570" i="1"/>
  <c r="L559" i="1"/>
  <c r="J544" i="1"/>
  <c r="F337" i="1"/>
  <c r="F351" i="1" s="1"/>
  <c r="G191" i="1"/>
  <c r="H191" i="1"/>
  <c r="E127" i="2"/>
  <c r="C35" i="10"/>
  <c r="L308" i="1"/>
  <c r="D5" i="13"/>
  <c r="C5" i="13" s="1"/>
  <c r="E16" i="13"/>
  <c r="C16" i="13" s="1"/>
  <c r="C49" i="2"/>
  <c r="L569" i="1"/>
  <c r="I570" i="1"/>
  <c r="I544" i="1"/>
  <c r="G36" i="2"/>
  <c r="L564" i="1"/>
  <c r="G544" i="1"/>
  <c r="K550" i="1"/>
  <c r="C22" i="13"/>
  <c r="C137" i="2"/>
  <c r="G51" i="1" l="1"/>
  <c r="H617" i="1" s="1"/>
  <c r="J617" i="1" s="1"/>
  <c r="J646" i="1"/>
  <c r="J638" i="1"/>
  <c r="F51" i="1"/>
  <c r="H616" i="1" s="1"/>
  <c r="J616" i="1" s="1"/>
  <c r="F551" i="1"/>
  <c r="A40" i="12"/>
  <c r="H544" i="1"/>
  <c r="L544" i="1"/>
  <c r="G475" i="1"/>
  <c r="H622" i="1" s="1"/>
  <c r="J622" i="1" s="1"/>
  <c r="E8" i="13"/>
  <c r="C8" i="13" s="1"/>
  <c r="C13" i="10"/>
  <c r="C19" i="10"/>
  <c r="C117" i="2"/>
  <c r="C127" i="2" s="1"/>
  <c r="C10" i="10"/>
  <c r="F475" i="1"/>
  <c r="H621" i="1" s="1"/>
  <c r="K551" i="1"/>
  <c r="J633" i="1"/>
  <c r="F660" i="1"/>
  <c r="G660" i="1"/>
  <c r="H660" i="1"/>
  <c r="L361" i="1"/>
  <c r="D144" i="2"/>
  <c r="H51" i="1"/>
  <c r="H618" i="1" s="1"/>
  <c r="J618" i="1" s="1"/>
  <c r="E50" i="2"/>
  <c r="H337" i="1"/>
  <c r="H351" i="1" s="1"/>
  <c r="E111" i="2"/>
  <c r="E114" i="2" s="1"/>
  <c r="E144" i="2" s="1"/>
  <c r="H475" i="1"/>
  <c r="H623" i="1" s="1"/>
  <c r="J623" i="1" s="1"/>
  <c r="C50" i="2"/>
  <c r="G621" i="1"/>
  <c r="J650" i="1"/>
  <c r="J648" i="1"/>
  <c r="G644" i="1"/>
  <c r="J644" i="1" s="1"/>
  <c r="K502" i="1"/>
  <c r="C21" i="10"/>
  <c r="H33" i="13"/>
  <c r="C20" i="10"/>
  <c r="C18" i="10"/>
  <c r="C111" i="2"/>
  <c r="L246" i="1"/>
  <c r="H659" i="1" s="1"/>
  <c r="C32" i="10"/>
  <c r="G661" i="1"/>
  <c r="I661" i="1" s="1"/>
  <c r="C17" i="10"/>
  <c r="C16" i="10"/>
  <c r="C15" i="10"/>
  <c r="L228" i="1"/>
  <c r="G659" i="1" s="1"/>
  <c r="K256" i="1"/>
  <c r="K270" i="1" s="1"/>
  <c r="H256" i="1"/>
  <c r="H270" i="1" s="1"/>
  <c r="C11" i="10"/>
  <c r="J256" i="1"/>
  <c r="J270" i="1" s="1"/>
  <c r="G256" i="1"/>
  <c r="G270" i="1" s="1"/>
  <c r="F256" i="1"/>
  <c r="F270" i="1" s="1"/>
  <c r="L210" i="1"/>
  <c r="F659" i="1" s="1"/>
  <c r="E33" i="13"/>
  <c r="D35" i="13" s="1"/>
  <c r="C114" i="2"/>
  <c r="I475" i="1"/>
  <c r="H624" i="1" s="1"/>
  <c r="J624" i="1" s="1"/>
  <c r="C80" i="2"/>
  <c r="C103" i="2" s="1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G42" i="2"/>
  <c r="J50" i="1"/>
  <c r="G16" i="2"/>
  <c r="G18" i="2" s="1"/>
  <c r="J19" i="1"/>
  <c r="G620" i="1" s="1"/>
  <c r="F544" i="1"/>
  <c r="H433" i="1"/>
  <c r="J619" i="1"/>
  <c r="D102" i="2"/>
  <c r="D103" i="2" s="1"/>
  <c r="I139" i="1"/>
  <c r="I192" i="1" s="1"/>
  <c r="G629" i="1" s="1"/>
  <c r="J629" i="1" s="1"/>
  <c r="A22" i="12"/>
  <c r="G49" i="2"/>
  <c r="G50" i="2" s="1"/>
  <c r="J651" i="1"/>
  <c r="J641" i="1"/>
  <c r="G570" i="1"/>
  <c r="I433" i="1"/>
  <c r="G433" i="1"/>
  <c r="I662" i="1"/>
  <c r="C27" i="10"/>
  <c r="G634" i="1"/>
  <c r="J634" i="1" s="1"/>
  <c r="J621" i="1" l="1"/>
  <c r="G663" i="1"/>
  <c r="G671" i="1" s="1"/>
  <c r="C5" i="10" s="1"/>
  <c r="H663" i="1"/>
  <c r="H666" i="1" s="1"/>
  <c r="F663" i="1"/>
  <c r="F671" i="1" s="1"/>
  <c r="C4" i="10" s="1"/>
  <c r="I660" i="1"/>
  <c r="D31" i="13"/>
  <c r="C31" i="13" s="1"/>
  <c r="H645" i="1"/>
  <c r="J645" i="1" s="1"/>
  <c r="H647" i="1"/>
  <c r="J647" i="1" s="1"/>
  <c r="C28" i="10"/>
  <c r="D23" i="10" s="1"/>
  <c r="L256" i="1"/>
  <c r="L270" i="1" s="1"/>
  <c r="G631" i="1" s="1"/>
  <c r="J631" i="1" s="1"/>
  <c r="I659" i="1"/>
  <c r="I663" i="1" s="1"/>
  <c r="I671" i="1" s="1"/>
  <c r="C7" i="10" s="1"/>
  <c r="C144" i="2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G666" i="1" l="1"/>
  <c r="F666" i="1"/>
  <c r="H671" i="1"/>
  <c r="C6" i="10" s="1"/>
  <c r="D27" i="10"/>
  <c r="D18" i="10"/>
  <c r="D17" i="10"/>
  <c r="D12" i="10"/>
  <c r="D13" i="10"/>
  <c r="D21" i="10"/>
  <c r="D26" i="10"/>
  <c r="D16" i="10"/>
  <c r="D11" i="10"/>
  <c r="D10" i="10"/>
  <c r="C30" i="10"/>
  <c r="D20" i="10"/>
  <c r="D15" i="10"/>
  <c r="D25" i="10"/>
  <c r="D24" i="10"/>
  <c r="D19" i="10"/>
  <c r="D22" i="10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<sst xmlns="http://schemas.openxmlformats.org/spreadsheetml/2006/main" count="3973" uniqueCount="917">
  <si>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</si>
  <si>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</si>
  <si>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</si>
  <si>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</si>
  <si>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</si>
  <si>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</si>
  <si>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</si>
  <si>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</si>
  <si>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</si>
  <si>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</si>
  <si>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</si>
  <si>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</si>
  <si>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</si>
  <si>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</si>
  <si>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</si>
  <si>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</si>
  <si>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</si>
  <si>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</si>
  <si>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</si>
  <si>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</si>
  <si>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</si>
  <si>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</si>
  <si>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</si>
  <si>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</si>
  <si>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</si>
  <si>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</si>
  <si>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</si>
  <si>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</si>
  <si>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</si>
  <si>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</si>
  <si>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</si>
  <si>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</si>
  <si>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</si>
  <si>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</si>
  <si>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</si>
  <si>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</si>
  <si>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</si>
  <si>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</si>
  <si>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</si>
  <si>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</si>
  <si>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</si>
  <si>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</si>
  <si>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</si>
  <si>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</si>
  <si>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</si>
  <si>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</si>
  <si>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</si>
  <si>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</si>
  <si>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</si>
  <si>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</si>
  <si>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</si>
  <si>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</si>
  <si>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</si>
  <si>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</si>
  <si>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</si>
  <si>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</si>
  <si>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</si>
  <si>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</si>
  <si>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</si>
  <si>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</si>
  <si>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</si>
  <si>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</si>
  <si>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</si>
  <si>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</si>
  <si>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</si>
  <si>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</si>
  <si>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</si>
  <si>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</si>
  <si>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</si>
  <si>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</si>
  <si>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</si>
  <si>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</si>
  <si>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</si>
  <si>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</si>
  <si>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</si>
  <si>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</si>
  <si>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</si>
  <si>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</si>
  <si>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</si>
  <si>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</si>
  <si>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</si>
  <si>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</si>
  <si>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</si>
  <si>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</si>
  <si>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</si>
  <si>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</si>
  <si>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</si>
  <si>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</si>
  <si>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</si>
  <si>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</si>
  <si>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</si>
  <si>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</si>
  <si>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</si>
  <si>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</si>
  <si>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</si>
  <si>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</si>
  <si>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</si>
  <si>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</si>
  <si>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</si>
  <si>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</si>
  <si>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</si>
  <si>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</si>
  <si>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</si>
  <si>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</si>
  <si>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</si>
  <si>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</si>
  <si>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</si>
  <si>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</si>
  <si>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</si>
  <si>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</si>
  <si>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</si>
  <si>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</si>
  <si>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</si>
  <si>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</si>
  <si>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</si>
  <si>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</si>
  <si>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</si>
  <si>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</si>
  <si>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</si>
  <si>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</si>
  <si>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</si>
  <si>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</si>
  <si>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</si>
  <si>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</si>
  <si>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</si>
  <si>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</si>
  <si>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</si>
  <si>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</si>
  <si>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</si>
  <si>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</si>
  <si>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</si>
  <si>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</si>
  <si>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</si>
  <si>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</si>
  <si>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</si>
  <si>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</si>
  <si>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</si>
  <si>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</si>
  <si>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</si>
  <si>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</si>
  <si>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</si>
  <si>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</si>
  <si>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</si>
  <si>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</si>
  <si>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</si>
  <si>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</si>
  <si>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</si>
  <si>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</si>
  <si>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</si>
  <si>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</si>
  <si>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</si>
  <si>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</si>
  <si>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</si>
  <si>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</si>
  <si>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</si>
  <si>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</si>
  <si>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</si>
  <si>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</si>
  <si>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</si>
  <si>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</si>
  <si>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</si>
  <si>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</si>
  <si>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</si>
  <si>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</si>
  <si>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</si>
  <si>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</si>
  <si>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</si>
  <si>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</si>
  <si>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</si>
  <si>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</si>
  <si>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</si>
  <si>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</si>
  <si>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</si>
  <si>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</si>
  <si>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</si>
  <si>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</si>
  <si>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</si>
  <si>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</si>
  <si>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</si>
  <si>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</si>
  <si>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</si>
  <si>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</si>
  <si>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</si>
  <si>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</si>
  <si>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</si>
  <si>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</si>
  <si>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</si>
  <si>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</si>
  <si>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</si>
  <si>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</si>
  <si>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</si>
  <si>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</si>
  <si>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</si>
  <si>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</si>
  <si>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</si>
  <si>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</si>
  <si>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</si>
  <si>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</si>
  <si>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</si>
  <si>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</si>
  <si>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</si>
  <si>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</si>
  <si>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</si>
  <si>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</si>
  <si>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</si>
  <si>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</si>
  <si>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</si>
  <si>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</si>
  <si>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</si>
  <si>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</si>
  <si>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</si>
  <si>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</si>
  <si>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</si>
  <si>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</si>
  <si>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</si>
  <si>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</si>
  <si>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</si>
  <si>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</si>
  <si>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</si>
  <si>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</si>
  <si>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</si>
  <si>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</si>
  <si>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</si>
  <si>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</si>
  <si>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</si>
  <si>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</si>
  <si>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</si>
  <si>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</si>
  <si>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</si>
  <si>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</si>
  <si>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</si>
  <si>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</si>
  <si>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</si>
  <si>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</si>
  <si>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</si>
  <si>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</si>
  <si>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</si>
  <si>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</si>
  <si>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</si>
  <si>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</si>
  <si>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</si>
  <si>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</si>
  <si>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</si>
  <si>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</si>
  <si>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</si>
  <si>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</si>
  <si>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</si>
  <si>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</si>
  <si>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</si>
  <si>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</si>
  <si>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</si>
  <si>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</si>
  <si>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</si>
  <si>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</si>
  <si>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</si>
  <si>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</si>
  <si>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</si>
  <si>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</si>
  <si>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</si>
  <si>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</si>
  <si>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</si>
  <si>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</si>
  <si>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</si>
  <si>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</si>
  <si>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</si>
  <si>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</si>
  <si>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</si>
  <si>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</si>
  <si>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</si>
  <si>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</si>
  <si>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</si>
  <si>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</si>
  <si>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</si>
  <si>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</si>
  <si>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</si>
  <si>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</si>
  <si>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</si>
  <si>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</si>
  <si>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</si>
  <si>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</si>
  <si>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</si>
  <si>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</si>
  <si>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</si>
  <si>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</si>
  <si>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</si>
  <si>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</si>
  <si>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</si>
  <si>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</si>
  <si>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</si>
  <si>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</si>
  <si>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</si>
  <si>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</si>
  <si>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</si>
  <si>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</si>
  <si>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</si>
  <si>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</si>
  <si>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</si>
  <si>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</si>
  <si>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</si>
  <si>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</si>
  <si>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</si>
  <si>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</si>
  <si>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</si>
  <si>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</si>
  <si>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</si>
  <si>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</si>
  <si>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</si>
  <si>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</si>
  <si>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</si>
  <si>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</si>
  <si>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</si>
  <si>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</si>
  <si>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</si>
  <si>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</si>
  <si>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</si>
  <si>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</si>
  <si>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</si>
  <si>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</si>
  <si>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</si>
  <si>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</si>
  <si>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</si>
  <si>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</si>
  <si>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</si>
  <si>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</si>
  <si>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</si>
  <si>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</si>
  <si>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</si>
  <si>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</si>
  <si>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</si>
  <si>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</si>
  <si>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</si>
  <si>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</si>
  <si>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</si>
  <si>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</si>
  <si>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</si>
  <si>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</si>
  <si>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</si>
  <si>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</si>
  <si>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</si>
  <si>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</si>
  <si>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</si>
  <si>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</si>
  <si>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</si>
  <si>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</si>
  <si>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</si>
  <si>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</si>
  <si>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</si>
  <si>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</si>
  <si>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</si>
  <si>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</si>
  <si>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</si>
  <si>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</si>
  <si>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</si>
  <si>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</si>
  <si>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</si>
  <si>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</si>
  <si>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</si>
  <si>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</si>
  <si>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</si>
  <si>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</si>
  <si>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</si>
  <si>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</si>
  <si>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</si>
  <si>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</si>
  <si>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</si>
  <si>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</si>
  <si>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</si>
  <si>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</si>
  <si>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</si>
  <si>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</si>
  <si>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</si>
  <si>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</si>
  <si>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</si>
  <si>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</si>
  <si>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</si>
  <si>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</si>
  <si>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</si>
  <si>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</si>
  <si>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</si>
  <si>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</si>
  <si>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</si>
  <si>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</si>
  <si>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</si>
  <si>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</si>
  <si>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</si>
  <si>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</si>
  <si>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</si>
  <si>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</si>
  <si>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</si>
  <si>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</si>
  <si>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</si>
  <si>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</si>
  <si>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</si>
  <si>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</si>
  <si>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</si>
  <si>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</si>
  <si>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</si>
  <si>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</si>
  <si>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</si>
  <si>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</si>
  <si>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</si>
  <si>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</si>
  <si>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</si>
  <si>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</si>
  <si>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</si>
  <si>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</si>
  <si>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</si>
  <si>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</si>
  <si>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</si>
  <si>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</si>
  <si>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</si>
  <si>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</si>
  <si>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</si>
  <si>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</si>
  <si>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</si>
  <si>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</si>
  <si>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</si>
  <si>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</si>
  <si>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</si>
  <si>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</si>
  <si>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</si>
  <si>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</si>
  <si>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</si>
  <si>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</si>
  <si>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</si>
  <si>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</si>
  <si>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</si>
  <si>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</si>
  <si>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</si>
  <si>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</si>
  <si>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</si>
  <si>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</si>
  <si>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</si>
  <si>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</si>
  <si>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</si>
  <si>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</si>
  <si>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</si>
  <si>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</si>
  <si>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</si>
  <si>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</si>
  <si>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</si>
  <si>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</si>
  <si>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</si>
  <si>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</si>
  <si>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</si>
  <si>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</si>
  <si>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</si>
  <si>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</si>
  <si>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</si>
  <si>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</si>
  <si>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</si>
  <si>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</si>
  <si>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</si>
  <si>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</si>
  <si>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</si>
  <si>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</si>
  <si>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</si>
  <si>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</si>
  <si>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</si>
  <si>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</si>
  <si>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</si>
  <si>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</si>
  <si>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</si>
  <si>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</si>
  <si>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</si>
  <si>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</si>
  <si>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</si>
  <si>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</si>
  <si>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</si>
  <si>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</si>
  <si>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</si>
  <si>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</si>
  <si>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</si>
  <si>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</si>
  <si>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</si>
  <si>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</si>
  <si>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</si>
  <si>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</si>
  <si>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</si>
  <si>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</si>
  <si>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</si>
  <si>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</si>
  <si>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</si>
  <si>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</si>
  <si>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</si>
  <si>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</si>
  <si>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</si>
  <si>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</si>
  <si>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</si>
  <si>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</si>
  <si>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</si>
  <si>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</si>
  <si>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</si>
  <si>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</si>
  <si>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</si>
  <si>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</si>
  <si>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</si>
  <si>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</si>
  <si>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</si>
  <si>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</si>
  <si>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</si>
  <si>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</si>
  <si>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</si>
  <si>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</si>
  <si>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</si>
  <si>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</si>
  <si>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</si>
  <si>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</si>
  <si>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</si>
  <si>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</si>
  <si>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</si>
  <si>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</si>
  <si>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</si>
  <si>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</si>
  <si>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</si>
  <si>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</si>
  <si>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</si>
  <si>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</si>
  <si>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</si>
  <si>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</si>
  <si>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</si>
  <si>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</si>
  <si>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</si>
  <si>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</si>
  <si>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</si>
  <si>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</si>
  <si>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</si>
  <si>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</si>
  <si>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</si>
  <si>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</si>
  <si>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</si>
  <si>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</si>
  <si>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</si>
  <si>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</si>
  <si>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</si>
  <si>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</si>
  <si>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</si>
  <si>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</si>
  <si>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</si>
  <si>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</si>
  <si>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</si>
  <si>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</si>
  <si>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</si>
  <si>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</si>
  <si>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</si>
  <si>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</si>
  <si>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</si>
  <si>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</si>
  <si>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</si>
  <si>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</si>
  <si>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</si>
  <si>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</si>
  <si>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</si>
  <si>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</si>
  <si>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</si>
  <si>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</si>
  <si>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</si>
  <si>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</si>
  <si>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</si>
  <si>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</si>
  <si>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</si>
  <si>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</si>
  <si>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</si>
  <si>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</si>
  <si>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</si>
  <si>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</si>
  <si>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</si>
  <si>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</si>
  <si>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</si>
  <si>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</si>
  <si>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</si>
  <si>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</si>
  <si>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</si>
  <si>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</si>
  <si>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</si>
  <si>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</si>
  <si>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</si>
  <si>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</si>
  <si>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</si>
  <si>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</si>
  <si>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</si>
  <si>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</si>
  <si>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</si>
  <si>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</si>
  <si>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</si>
  <si>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</si>
  <si>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</si>
  <si>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</si>
  <si>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</si>
  <si>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</si>
  <si>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</si>
  <si>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</si>
  <si>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</si>
  <si>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</si>
  <si>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</si>
  <si>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</si>
  <si>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</si>
  <si>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</si>
  <si>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</si>
  <si>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</si>
  <si>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</si>
  <si>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</si>
  <si>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</si>
  <si>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</si>
  <si>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</si>
  <si>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</si>
  <si>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</si>
  <si>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</si>
  <si>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</si>
  <si>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</si>
  <si>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</si>
  <si>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</si>
  <si>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</si>
  <si>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</si>
  <si>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</si>
  <si>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</si>
  <si>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</si>
  <si>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</si>
  <si>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</si>
  <si>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</si>
  <si>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</si>
  <si>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</si>
  <si>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</si>
  <si>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</si>
  <si>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</si>
  <si>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</si>
  <si>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</si>
  <si>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</si>
  <si>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</si>
  <si>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</si>
  <si>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</si>
  <si>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</si>
  <si>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</si>
  <si>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</si>
  <si>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</si>
  <si>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</si>
  <si>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</si>
  <si>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</si>
  <si>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</si>
  <si>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</si>
  <si>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</si>
  <si>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</si>
  <si>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</si>
  <si>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</si>
  <si>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</si>
  <si>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</si>
  <si>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</si>
  <si>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</si>
  <si>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</si>
  <si>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</si>
  <si>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</si>
  <si>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</si>
  <si>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</si>
  <si>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</si>
  <si>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</si>
  <si>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</si>
  <si>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</si>
  <si>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</si>
  <si>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</si>
  <si>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</si>
  <si>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</si>
  <si>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</si>
  <si>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</si>
  <si>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</si>
  <si>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</si>
  <si>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</si>
  <si>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</si>
  <si>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</si>
  <si>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</si>
  <si>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</si>
  <si>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</si>
  <si>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</si>
  <si>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</si>
  <si>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</si>
  <si>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</si>
  <si>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</si>
  <si>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</si>
  <si>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</si>
  <si>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</si>
  <si>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</si>
  <si>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</si>
  <si>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</si>
  <si>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</si>
  <si>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</si>
  <si>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</si>
  <si>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</si>
  <si>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</si>
  <si>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</si>
  <si>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</si>
  <si>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</si>
  <si>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</si>
  <si>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</si>
  <si>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</si>
  <si>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</si>
  <si>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</si>
  <si>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</si>
  <si>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</si>
  <si>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</si>
  <si>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</si>
  <si>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</si>
  <si>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</si>
  <si>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</si>
  <si>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</si>
  <si>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</si>
  <si>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</si>
  <si>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</si>
  <si>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</si>
  <si>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</si>
  <si>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</si>
  <si>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</si>
  <si>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</si>
  <si>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</si>
  <si>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</si>
  <si>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</si>
  <si>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</si>
  <si>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</si>
  <si>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</si>
  <si>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</si>
  <si>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</si>
  <si>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</si>
  <si>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</si>
  <si>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</si>
  <si>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</si>
  <si>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</si>
  <si>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</si>
  <si>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</si>
  <si>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</si>
  <si>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</si>
  <si>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</si>
  <si>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</si>
  <si>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</si>
  <si>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</si>
  <si>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</si>
  <si>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</si>
  <si>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</si>
  <si>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</si>
  <si>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</si>
  <si>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</si>
  <si>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</si>
  <si>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</si>
  <si>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</si>
  <si>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</si>
  <si>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</si>
  <si>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</si>
  <si>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</si>
  <si>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</si>
  <si>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</si>
  <si>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</si>
  <si>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</si>
  <si>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</si>
  <si>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</si>
  <si>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</si>
  <si>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</si>
  <si>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</si>
  <si>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</si>
  <si>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</si>
  <si>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</si>
  <si>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</si>
  <si>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</si>
  <si>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</si>
  <si>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</si>
  <si>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</si>
  <si>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</si>
  <si>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</si>
  <si>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</si>
  <si>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</si>
  <si>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</si>
  <si>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</si>
  <si>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</si>
  <si>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</si>
  <si>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</si>
  <si>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</si>
  <si>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</si>
  <si>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</si>
  <si>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</si>
  <si>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</si>
  <si>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</si>
  <si>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</si>
  <si>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</si>
  <si>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</si>
  <si>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</si>
  <si>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</si>
  <si>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</si>
  <si>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</si>
  <si>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</si>
  <si>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</si>
  <si>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</si>
  <si>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</si>
  <si>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</si>
  <si>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</si>
  <si>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</si>
  <si>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</si>
  <si>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</si>
  <si>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</si>
  <si>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</si>
  <si>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</si>
  <si>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</si>
  <si>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</si>
  <si>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</si>
  <si>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</si>
  <si>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</si>
  <si>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</si>
  <si>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</si>
  <si>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</si>
  <si>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</si>
  <si>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</si>
  <si>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</si>
  <si>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</si>
  <si>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</si>
  <si>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</si>
  <si>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</si>
  <si>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</si>
  <si>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</si>
  <si>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</si>
  <si>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</si>
  <si>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</si>
  <si>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</si>
  <si>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</si>
  <si>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</si>
  <si>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</si>
  <si>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</si>
  <si>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</si>
  <si>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</si>
  <si>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</si>
  <si>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</si>
  <si>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</si>
  <si>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</si>
  <si>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</si>
  <si>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</si>
  <si>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</si>
  <si>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</si>
  <si>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</si>
  <si>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</si>
  <si>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</si>
  <si>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</si>
  <si>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</si>
  <si>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</si>
  <si>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</si>
  <si>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</si>
  <si>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</si>
  <si>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</si>
  <si>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</si>
  <si>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</si>
  <si>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</si>
  <si>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</si>
  <si>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</si>
  <si>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</si>
  <si>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</si>
  <si>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</si>
  <si>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</si>
  <si>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</si>
  <si>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</si>
  <si>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</si>
  <si>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</si>
  <si>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</si>
  <si>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</si>
  <si>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</si>
  <si>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</si>
  <si>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</si>
  <si>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</si>
  <si>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</si>
  <si>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</si>
  <si>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</si>
  <si>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</si>
  <si>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</si>
  <si>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</si>
  <si>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</si>
  <si>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</si>
  <si>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</si>
  <si>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</si>
  <si>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</si>
  <si>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</si>
  <si>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</si>
  <si>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</si>
  <si>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</si>
  <si>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</si>
  <si>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</si>
  <si>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</si>
  <si>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</si>
  <si>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</si>
  <si>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</si>
  <si>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</si>
  <si>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</si>
  <si>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</si>
  <si>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</si>
  <si>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</si>
  <si>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</si>
  <si>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</si>
  <si>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</si>
  <si>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</si>
  <si>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</si>
  <si>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</si>
  <si>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</si>
  <si>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</si>
  <si>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</si>
  <si>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</si>
  <si>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</si>
  <si>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</si>
  <si>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</si>
  <si>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</si>
  <si>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</si>
  <si>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</si>
  <si>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</si>
  <si>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</si>
  <si>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</si>
  <si>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</si>
  <si>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</si>
  <si>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</si>
  <si>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</si>
  <si>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07/99</t>
  </si>
  <si>
    <t>08/19</t>
  </si>
  <si>
    <t>accrued Revenue</t>
  </si>
  <si>
    <t>Wilton-Lyndeborough Cooperative S.D.</t>
  </si>
  <si>
    <t>p/y encumb. Adj. fund 30 &amp; gen fund equity cap proj.</t>
  </si>
  <si>
    <t>p/y audit adjs fund balance due to other $63K</t>
  </si>
  <si>
    <t>reduce fund equity transfer to other funds</t>
  </si>
  <si>
    <t>transfer in from gen fund food service--interfund adjs to fund bal.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</si>
</sst>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912</v>
      </c>
      <c r="B2" s="21">
        <v>572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402030.08000000002</v>
      </c>
      <c r="G9" s="18">
        <v>1927.52</v>
      </c>
      <c r="H9" s="18"/>
      <c r="I9" s="18"/>
      <c r="J9" s="67">
        <f>SUM(I438)</f>
        <v>278011.3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51530.33+43426.17+4236.38</f>
        <v>99192.88</v>
      </c>
      <c r="G12" s="18">
        <v>27261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 t="s">
        <v>287</v>
      </c>
      <c r="G13" s="18">
        <f>12029.64+2553.4-4029.44</f>
        <v>10553.599999999999</v>
      </c>
      <c r="H13" s="18">
        <v>52607.57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f>9.48+59.57+267</f>
        <v>336.05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0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501222.96</v>
      </c>
      <c r="G19" s="41">
        <f>SUM(G9:G18)</f>
        <v>40078.17</v>
      </c>
      <c r="H19" s="41">
        <f>SUM(H9:H18)</f>
        <v>52607.57</v>
      </c>
      <c r="I19" s="41">
        <f>SUM(I9:I18)</f>
        <v>0</v>
      </c>
      <c r="J19" s="41">
        <f>SUM(J9:J18)</f>
        <v>278011.3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27261</v>
      </c>
      <c r="G22" s="18">
        <f>40078.17-1927.52+9511.9</f>
        <v>47662.55</v>
      </c>
      <c r="H22" s="18">
        <v>51530.33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 t="s">
        <v>287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791+11106.24+2596.1+829.02</f>
        <v>15322.36</v>
      </c>
      <c r="G24" s="18">
        <f>266+175</f>
        <v>441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 t="s">
        <v>287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8206.44</f>
        <v>8206.44</v>
      </c>
      <c r="G28" s="18" t="s">
        <v>287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 t="s">
        <v>287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 t="s">
        <v>287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50789.8</v>
      </c>
      <c r="G32" s="41">
        <f>SUM(G22:G31)</f>
        <v>48103.55</v>
      </c>
      <c r="H32" s="41">
        <f>SUM(H22:H31)</f>
        <v>51530.33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0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2026.11</v>
      </c>
      <c r="G39" s="18">
        <v>2399.65</v>
      </c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-6025.38-5112.25+712.6</f>
        <v>-10425.030000000001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278011.3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240000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4">
        <v>0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1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 t="s">
        <v>287</v>
      </c>
      <c r="G47" s="18" t="s">
        <v>287</v>
      </c>
      <c r="H47" s="18">
        <v>1077.24</v>
      </c>
      <c r="I47" s="18"/>
      <c r="J47" s="13">
        <f>SUM(I458)</f>
        <v>0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f>106158.75</f>
        <v>106158.75</v>
      </c>
      <c r="G48" s="18"/>
      <c r="H48" s="18"/>
      <c r="I48" s="18"/>
      <c r="J48" s="13">
        <f>I453</f>
        <v>0</v>
      </c>
      <c r="K48" s="24"/>
      <c r="L48" s="24"/>
      <c r="M48" s="8"/>
      <c r="N48" s="271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97289+722.92+4236.38</f>
        <v>102248.3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1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450433.16</v>
      </c>
      <c r="G50" s="41">
        <f>SUM(G35:G49)</f>
        <v>-8025.380000000001</v>
      </c>
      <c r="H50" s="41">
        <f>SUM(H35:H49)</f>
        <v>1077.24</v>
      </c>
      <c r="I50" s="41">
        <f>SUM(I35:I49)</f>
        <v>0</v>
      </c>
      <c r="J50" s="41">
        <f>SUM(J35:J49)</f>
        <v>278011.3</v>
      </c>
      <c r="K50" s="45" t="s">
        <v>289</v>
      </c>
      <c r="L50" s="45" t="s">
        <v>289</v>
      </c>
      <c r="N50" s="269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501222.95999999996</v>
      </c>
      <c r="G51" s="41">
        <f>G50+G32</f>
        <v>40078.17</v>
      </c>
      <c r="H51" s="41">
        <f>H50+H32</f>
        <v>52607.57</v>
      </c>
      <c r="I51" s="41">
        <f>I50+I32</f>
        <v>0</v>
      </c>
      <c r="J51" s="41">
        <f>J50+J32</f>
        <v>278011.3</v>
      </c>
      <c r="K51" s="45" t="s">
        <v>289</v>
      </c>
      <c r="L51" s="45" t="s">
        <v>289</v>
      </c>
      <c r="M51" s="8"/>
      <c r="N51" s="271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1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1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1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1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7291839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1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2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7291839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2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1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4675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2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1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69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4675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1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1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1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1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1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1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1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3350.08</v>
      </c>
      <c r="G95" s="18"/>
      <c r="H95" s="18"/>
      <c r="I95" s="18"/>
      <c r="J95" s="18">
        <f>39.51+106.86+0.96</f>
        <v>147.33000000000001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96486.42+690.7+1220.22</f>
        <v>98397.34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555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126.69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1318.82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-867</v>
      </c>
      <c r="G109" s="18">
        <f>6022</f>
        <v>6022</v>
      </c>
      <c r="H109" s="18">
        <v>2000</v>
      </c>
      <c r="I109" s="18"/>
      <c r="J109" s="18"/>
      <c r="K109" s="24" t="s">
        <v>289</v>
      </c>
      <c r="L109" s="24" t="s">
        <v>289</v>
      </c>
      <c r="M109" s="8"/>
      <c r="N109" s="271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4483.59</v>
      </c>
      <c r="G110" s="41">
        <f>SUM(G95:G109)</f>
        <v>104419.34</v>
      </c>
      <c r="H110" s="41">
        <f>SUM(H95:H109)</f>
        <v>2000</v>
      </c>
      <c r="I110" s="41">
        <f>SUM(I95:I109)</f>
        <v>0</v>
      </c>
      <c r="J110" s="41">
        <f>SUM(J95:J109)</f>
        <v>147.33000000000001</v>
      </c>
      <c r="K110" s="45" t="s">
        <v>289</v>
      </c>
      <c r="L110" s="45" t="s">
        <v>289</v>
      </c>
      <c r="N110" s="269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7300997.5899999999</v>
      </c>
      <c r="G111" s="41">
        <f>G59+G110</f>
        <v>104419.34</v>
      </c>
      <c r="H111" s="41">
        <f>H59+H78+H93+H110</f>
        <v>2000</v>
      </c>
      <c r="I111" s="41">
        <f>I59+I110</f>
        <v>0</v>
      </c>
      <c r="J111" s="41">
        <f>J59+J110</f>
        <v>147.33000000000001</v>
      </c>
      <c r="K111" s="45" t="s">
        <v>289</v>
      </c>
      <c r="L111" s="45" t="s">
        <v>289</v>
      </c>
      <c r="M111" s="8"/>
      <c r="N111" s="271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1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1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1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1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1699440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1282272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1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2981712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1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1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130000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 t="s">
        <v>287</v>
      </c>
      <c r="G123" s="24"/>
      <c r="H123" s="24"/>
      <c r="I123" s="18">
        <f>40993.32-11492</f>
        <v>29501.32</v>
      </c>
      <c r="J123" s="24"/>
      <c r="K123" s="24"/>
      <c r="L123" s="24"/>
      <c r="M123" s="8"/>
      <c r="N123" s="271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13800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1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140909.76999999999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932.04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2780.35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1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1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285641.81</v>
      </c>
      <c r="G135" s="41">
        <f>SUM(G122:G134)</f>
        <v>2780.35</v>
      </c>
      <c r="H135" s="41">
        <f>SUM(H122:H134)</f>
        <v>0</v>
      </c>
      <c r="I135" s="41">
        <f>SUM(I122:I134)</f>
        <v>29501.32</v>
      </c>
      <c r="J135" s="41">
        <f>SUM(J122:J134)</f>
        <v>0</v>
      </c>
      <c r="K135" s="45" t="s">
        <v>289</v>
      </c>
      <c r="L135" s="45" t="s">
        <v>289</v>
      </c>
      <c r="M135" s="8"/>
      <c r="N135" s="271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1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3267353.81</v>
      </c>
      <c r="G139" s="41">
        <f>G120+SUM(G135:G136)</f>
        <v>2780.35</v>
      </c>
      <c r="H139" s="41">
        <f>H120+SUM(H135:H138)</f>
        <v>0</v>
      </c>
      <c r="I139" s="41">
        <f>I120+I135</f>
        <v>29501.32</v>
      </c>
      <c r="J139" s="41">
        <f>J120+J135</f>
        <v>0</v>
      </c>
      <c r="K139" s="45" t="s">
        <v>289</v>
      </c>
      <c r="L139" s="45" t="s">
        <v>289</v>
      </c>
      <c r="M139" s="8"/>
      <c r="N139" s="271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1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1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71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1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1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1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17763.7</v>
      </c>
      <c r="I149" s="18"/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72078.99+15132.11</f>
        <v>87211.1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64258.99+9449.25</f>
        <v>73708.239999999991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79085.23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160782.89+26948.97</f>
        <v>187731.86000000002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134266.82999999999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134266.82999999999</v>
      </c>
      <c r="G161" s="41">
        <f>SUM(G149:G160)</f>
        <v>79085.23</v>
      </c>
      <c r="H161" s="41">
        <f>SUM(H149:H160)</f>
        <v>366414.9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1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1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134266.82999999999</v>
      </c>
      <c r="G168" s="41">
        <f>G146+G161+SUM(G162:G167)</f>
        <v>79085.23</v>
      </c>
      <c r="H168" s="41">
        <f>H146+H161+SUM(H162:H167)</f>
        <v>366414.9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1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1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1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71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1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1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1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55000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55000</v>
      </c>
      <c r="K182" s="45" t="s">
        <v>289</v>
      </c>
      <c r="L182" s="45" t="s">
        <v>289</v>
      </c>
      <c r="M182" s="8"/>
      <c r="N182" s="271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1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3957.1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69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3957.1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69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1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3957.1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55000</v>
      </c>
      <c r="K191" s="45" t="s">
        <v>289</v>
      </c>
      <c r="L191" s="45" t="s">
        <v>289</v>
      </c>
      <c r="M191" s="8"/>
      <c r="N191" s="271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10706575.33</v>
      </c>
      <c r="G192" s="47">
        <f>G111+G139+G168+G191</f>
        <v>186284.91999999998</v>
      </c>
      <c r="H192" s="47">
        <f>H111+H139+H168+H191</f>
        <v>368414.9</v>
      </c>
      <c r="I192" s="47">
        <f>I111+I139+I168+I191</f>
        <v>29501.32</v>
      </c>
      <c r="J192" s="47">
        <f>J111+J139+J191</f>
        <v>55147.33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71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1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1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1152005.5</v>
      </c>
      <c r="G196" s="18">
        <f>499527.04+129.48+67.2+146.96+28-0.97</f>
        <v>499897.71</v>
      </c>
      <c r="H196" s="18">
        <f>2747.72+120</f>
        <v>2867.72</v>
      </c>
      <c r="I196" s="18">
        <f>52033.6+1354.83</f>
        <v>53388.43</v>
      </c>
      <c r="J196" s="18">
        <f>13208.49</f>
        <v>13208.49</v>
      </c>
      <c r="K196" s="18">
        <v>110</v>
      </c>
      <c r="L196" s="19">
        <f>SUM(F196:K196)</f>
        <v>1721477.8499999999</v>
      </c>
      <c r="M196" s="8"/>
      <c r="N196" s="271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464735.5</v>
      </c>
      <c r="G197" s="18">
        <v>133163.03</v>
      </c>
      <c r="H197" s="18">
        <f>996.49+125+11160.2</f>
        <v>12281.69</v>
      </c>
      <c r="I197" s="18">
        <v>5937.7</v>
      </c>
      <c r="J197" s="18">
        <v>6707.39</v>
      </c>
      <c r="K197" s="18">
        <v>4923.2</v>
      </c>
      <c r="L197" s="19">
        <f>SUM(F197:K197)</f>
        <v>627748.50999999989</v>
      </c>
      <c r="M197" s="8"/>
      <c r="N197" s="271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1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0</v>
      </c>
      <c r="G199" s="18">
        <v>0</v>
      </c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1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125761.6+41546.12</f>
        <v>167307.72</v>
      </c>
      <c r="G201" s="18">
        <f>42395.7+17645.99</f>
        <v>60041.69</v>
      </c>
      <c r="H201" s="18">
        <f>329670.64+860+412.85+104.78+4197.9</f>
        <v>335246.17000000004</v>
      </c>
      <c r="I201" s="18">
        <f>3513.97+288.74+235</f>
        <v>4037.71</v>
      </c>
      <c r="J201" s="18">
        <f>1892.36+335.29</f>
        <v>2227.65</v>
      </c>
      <c r="K201" s="18">
        <v>400</v>
      </c>
      <c r="L201" s="19">
        <f t="shared" ref="L201:L207" si="0">SUM(F201:K201)</f>
        <v>569260.94000000006</v>
      </c>
      <c r="M201" s="8"/>
      <c r="N201" s="271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16542.95+26822.88</f>
        <v>43365.83</v>
      </c>
      <c r="G202" s="18">
        <f>16922.08+9814.66</f>
        <v>26736.74</v>
      </c>
      <c r="H202" s="18">
        <f>529+100.75</f>
        <v>629.75</v>
      </c>
      <c r="I202" s="18">
        <v>5333.76</v>
      </c>
      <c r="J202" s="18">
        <v>239.47</v>
      </c>
      <c r="K202" s="18"/>
      <c r="L202" s="19">
        <f t="shared" si="0"/>
        <v>76305.55</v>
      </c>
      <c r="M202" s="8"/>
      <c r="N202" s="271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2100+105267.17</f>
        <v>107367.17</v>
      </c>
      <c r="G203" s="18">
        <f>160.65+28724.5</f>
        <v>28885.15</v>
      </c>
      <c r="H203" s="18">
        <f>3905.39+3849.33+5930.42+1692.09+8148.27+213.32+317.97+3689.82</f>
        <v>27746.61</v>
      </c>
      <c r="I203" s="18">
        <f>946.1+102.1</f>
        <v>1048.2</v>
      </c>
      <c r="J203" s="18">
        <v>35.25</v>
      </c>
      <c r="K203" s="18">
        <f>2110.19+1179.59+21.19</f>
        <v>3310.97</v>
      </c>
      <c r="L203" s="19">
        <f t="shared" si="0"/>
        <v>168393.35</v>
      </c>
      <c r="M203" s="8"/>
      <c r="N203" s="271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232652.4</v>
      </c>
      <c r="G204" s="18">
        <v>72111.05</v>
      </c>
      <c r="H204" s="18">
        <f>8999.41+19263.21+103.68+773.87</f>
        <v>29140.17</v>
      </c>
      <c r="I204" s="18">
        <f>2404.77+353.73</f>
        <v>2758.5</v>
      </c>
      <c r="J204" s="18">
        <v>1063</v>
      </c>
      <c r="K204" s="18">
        <v>4130.6400000000003</v>
      </c>
      <c r="L204" s="19">
        <f t="shared" si="0"/>
        <v>341855.76</v>
      </c>
      <c r="M204" s="8"/>
      <c r="N204" s="271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66083.759999999995</v>
      </c>
      <c r="G205" s="18">
        <v>26057.56</v>
      </c>
      <c r="H205" s="18">
        <f>1084.44+1126.46+2069.89</f>
        <v>4280.79</v>
      </c>
      <c r="I205" s="18">
        <f>2169.69+20.25</f>
        <v>2189.94</v>
      </c>
      <c r="J205" s="18">
        <v>85.38</v>
      </c>
      <c r="K205" s="18">
        <v>9157.08</v>
      </c>
      <c r="L205" s="19">
        <f t="shared" si="0"/>
        <v>107854.51</v>
      </c>
      <c r="M205" s="8"/>
      <c r="N205" s="271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103105.14</v>
      </c>
      <c r="G206" s="18">
        <v>28754.400000000001</v>
      </c>
      <c r="H206" s="18">
        <f>69262.81+5366.6+704.1+10857.68+448.86+67.06+49062.08+195.87</f>
        <v>135965.06</v>
      </c>
      <c r="I206" s="18">
        <f>118973.97+5690.57-764</f>
        <v>123900.54000000001</v>
      </c>
      <c r="J206" s="18">
        <v>4921.28</v>
      </c>
      <c r="K206" s="18"/>
      <c r="L206" s="19">
        <f t="shared" si="0"/>
        <v>396646.42000000004</v>
      </c>
      <c r="M206" s="8"/>
      <c r="N206" s="271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238657.09</v>
      </c>
      <c r="I207" s="18"/>
      <c r="J207" s="18"/>
      <c r="K207" s="18"/>
      <c r="L207" s="19">
        <f t="shared" si="0"/>
        <v>238657.09</v>
      </c>
      <c r="M207" s="8"/>
      <c r="N207" s="271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45977</v>
      </c>
      <c r="G208" s="18">
        <v>21033.25</v>
      </c>
      <c r="H208" s="18">
        <f>1990.41+200.36</f>
        <v>2190.77</v>
      </c>
      <c r="I208" s="18">
        <f>1657.07+764</f>
        <v>2421.0699999999997</v>
      </c>
      <c r="J208" s="18">
        <v>1690.02</v>
      </c>
      <c r="K208" s="18"/>
      <c r="L208" s="19">
        <f>SUM(F208:K208)</f>
        <v>73312.11</v>
      </c>
      <c r="M208" s="8"/>
      <c r="N208" s="271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1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2382600.02</v>
      </c>
      <c r="G210" s="41">
        <f t="shared" si="1"/>
        <v>896680.58000000007</v>
      </c>
      <c r="H210" s="41">
        <f t="shared" si="1"/>
        <v>789005.82</v>
      </c>
      <c r="I210" s="41">
        <f t="shared" si="1"/>
        <v>201015.85</v>
      </c>
      <c r="J210" s="41">
        <f t="shared" si="1"/>
        <v>30177.930000000004</v>
      </c>
      <c r="K210" s="41">
        <f t="shared" si="1"/>
        <v>22031.89</v>
      </c>
      <c r="L210" s="41">
        <f t="shared" si="1"/>
        <v>4321512.09</v>
      </c>
      <c r="M210" s="8"/>
      <c r="N210" s="271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71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1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1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734180.52</v>
      </c>
      <c r="G214" s="18">
        <f>274557.5+81.14</f>
        <v>274638.64</v>
      </c>
      <c r="H214" s="18">
        <f>11748.2+49.03+583.12</f>
        <v>12380.350000000002</v>
      </c>
      <c r="I214" s="18">
        <f>36275.13+1126.14</f>
        <v>37401.269999999997</v>
      </c>
      <c r="J214" s="18">
        <f>18130.48+1618.87</f>
        <v>19749.349999999999</v>
      </c>
      <c r="K214" s="18"/>
      <c r="L214" s="19">
        <f>SUM(F214:K214)</f>
        <v>1078350.1300000001</v>
      </c>
      <c r="M214" s="8"/>
      <c r="N214" s="271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146168.1</v>
      </c>
      <c r="G215" s="18">
        <v>36867.39</v>
      </c>
      <c r="H215" s="18">
        <f>131.72+89994.58</f>
        <v>90126.3</v>
      </c>
      <c r="I215" s="18">
        <v>863.78</v>
      </c>
      <c r="J215" s="18">
        <v>450.85</v>
      </c>
      <c r="K215" s="18">
        <v>2718.28</v>
      </c>
      <c r="L215" s="19">
        <f>SUM(F215:K215)</f>
        <v>277194.7</v>
      </c>
      <c r="M215" s="8"/>
      <c r="N215" s="271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1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14496.8</v>
      </c>
      <c r="G217" s="18">
        <f>2724.62+279.47</f>
        <v>3004.09</v>
      </c>
      <c r="H217" s="18">
        <f>4652.26+9528+1364.64</f>
        <v>15544.9</v>
      </c>
      <c r="I217" s="18">
        <f>1991.39+68.19</f>
        <v>2059.58</v>
      </c>
      <c r="J217" s="18">
        <v>180.55</v>
      </c>
      <c r="K217" s="18">
        <f>8030.71+245.51</f>
        <v>8276.2199999999993</v>
      </c>
      <c r="L217" s="19">
        <f>SUM(F217:K217)</f>
        <v>43562.140000000007</v>
      </c>
      <c r="M217" s="8"/>
      <c r="N217" s="271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1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95915.04+22939.17</f>
        <v>118854.20999999999</v>
      </c>
      <c r="G219" s="18">
        <f>46799.92+9743.01</f>
        <v>56542.93</v>
      </c>
      <c r="H219" s="18">
        <f>66336.72+60.8+227.95+57.85</f>
        <v>66683.320000000007</v>
      </c>
      <c r="I219" s="18">
        <f>2163.19+159.43</f>
        <v>2322.62</v>
      </c>
      <c r="J219" s="18">
        <v>185.12</v>
      </c>
      <c r="K219" s="18">
        <v>194</v>
      </c>
      <c r="L219" s="19">
        <f t="shared" ref="L219:L225" si="2">SUM(F219:K219)</f>
        <v>244782.19999999998</v>
      </c>
      <c r="M219" s="8"/>
      <c r="N219" s="271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7058.38+14809.92</f>
        <v>21868.3</v>
      </c>
      <c r="G220" s="18">
        <f>11869.41+5419.04</f>
        <v>17288.45</v>
      </c>
      <c r="H220" s="18">
        <v>55.63</v>
      </c>
      <c r="I220" s="18">
        <v>1680.41</v>
      </c>
      <c r="J220" s="18"/>
      <c r="K220" s="18">
        <v>14</v>
      </c>
      <c r="L220" s="19">
        <f t="shared" si="2"/>
        <v>40906.79</v>
      </c>
      <c r="M220" s="8"/>
      <c r="N220" s="271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1154.29+58121.96</f>
        <v>59276.25</v>
      </c>
      <c r="G221" s="18">
        <f>97.49+15859.88</f>
        <v>15957.369999999999</v>
      </c>
      <c r="H221" s="18">
        <f>7027.74+1459.73+3274.41+934.27+4498.97+117.78+175.56+134.44</f>
        <v>17622.899999999998</v>
      </c>
      <c r="I221" s="18">
        <f>21.8+522.38+56.37</f>
        <v>600.54999999999995</v>
      </c>
      <c r="J221" s="18">
        <v>19.46</v>
      </c>
      <c r="K221" s="18">
        <f>708+651.3+11.7</f>
        <v>1371</v>
      </c>
      <c r="L221" s="19">
        <f t="shared" si="2"/>
        <v>94847.53</v>
      </c>
      <c r="M221" s="8"/>
      <c r="N221" s="271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90849.53</v>
      </c>
      <c r="G222" s="18">
        <v>27980.29</v>
      </c>
      <c r="H222" s="18">
        <f>424.44+10819.07+106.15+628.66</f>
        <v>11978.32</v>
      </c>
      <c r="I222" s="18">
        <f>1848.92+66.67</f>
        <v>1915.5900000000001</v>
      </c>
      <c r="J222" s="18">
        <v>193.86</v>
      </c>
      <c r="K222" s="18">
        <v>3292.52</v>
      </c>
      <c r="L222" s="19">
        <f t="shared" si="2"/>
        <v>136210.10999999999</v>
      </c>
      <c r="M222" s="8"/>
      <c r="N222" s="271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36487.33</v>
      </c>
      <c r="G223" s="18">
        <v>14387.36</v>
      </c>
      <c r="H223" s="18">
        <f>598.76+621.96+1142.86</f>
        <v>2363.58</v>
      </c>
      <c r="I223" s="18">
        <f>1197.97+11.18</f>
        <v>1209.1500000000001</v>
      </c>
      <c r="J223" s="18">
        <v>47.14</v>
      </c>
      <c r="K223" s="18">
        <v>5055.97</v>
      </c>
      <c r="L223" s="19">
        <f t="shared" si="2"/>
        <v>59550.530000000006</v>
      </c>
      <c r="M223" s="8"/>
      <c r="N223" s="271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59165.59</v>
      </c>
      <c r="G224" s="18">
        <v>23614.23</v>
      </c>
      <c r="H224" s="18">
        <f>41536.77+388.76+5994.93+247.83+37.02+8667.87</f>
        <v>56873.18</v>
      </c>
      <c r="I224" s="18">
        <f>51362.69+1970.17</f>
        <v>53332.86</v>
      </c>
      <c r="J224" s="18">
        <v>7581.25</v>
      </c>
      <c r="K224" s="18"/>
      <c r="L224" s="19">
        <f t="shared" si="2"/>
        <v>200567.11</v>
      </c>
      <c r="M224" s="8"/>
      <c r="N224" s="271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51699.19</v>
      </c>
      <c r="I225" s="18"/>
      <c r="J225" s="18"/>
      <c r="K225" s="18"/>
      <c r="L225" s="19">
        <f t="shared" si="2"/>
        <v>51699.19</v>
      </c>
      <c r="M225" s="8"/>
      <c r="N225" s="271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22173.67</v>
      </c>
      <c r="G226" s="18">
        <v>8890.48</v>
      </c>
      <c r="H226" s="18">
        <v>28.02</v>
      </c>
      <c r="I226" s="18">
        <v>20</v>
      </c>
      <c r="J226" s="18"/>
      <c r="K226" s="18"/>
      <c r="L226" s="19">
        <f>SUM(F226:K226)</f>
        <v>31112.17</v>
      </c>
      <c r="M226" s="8"/>
      <c r="N226" s="271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1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1303520.3000000003</v>
      </c>
      <c r="G228" s="41">
        <f>SUM(G214:G227)</f>
        <v>479171.23</v>
      </c>
      <c r="H228" s="41">
        <f>SUM(H214:H227)</f>
        <v>325355.69</v>
      </c>
      <c r="I228" s="41">
        <f>SUM(I214:I227)</f>
        <v>101405.81</v>
      </c>
      <c r="J228" s="41">
        <f>SUM(J214:J227)</f>
        <v>28407.579999999994</v>
      </c>
      <c r="K228" s="41">
        <f t="shared" si="3"/>
        <v>20921.990000000002</v>
      </c>
      <c r="L228" s="41">
        <f t="shared" si="3"/>
        <v>2258782.6</v>
      </c>
      <c r="M228" s="8"/>
      <c r="N228" s="271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71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1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1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1099666.51</v>
      </c>
      <c r="G232" s="18">
        <f>395696.11+122.55</f>
        <v>395818.66</v>
      </c>
      <c r="H232" s="18">
        <f>17460.25+874.78</f>
        <v>18335.03</v>
      </c>
      <c r="I232" s="18">
        <f>53856.75+1678.14</f>
        <v>55534.89</v>
      </c>
      <c r="J232" s="18">
        <f>20532.91+2413.92</f>
        <v>22946.83</v>
      </c>
      <c r="K232" s="18"/>
      <c r="L232" s="19">
        <f>SUM(F232:K232)</f>
        <v>1592301.92</v>
      </c>
      <c r="M232" s="8"/>
      <c r="N232" s="271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139041.85999999999</v>
      </c>
      <c r="G233" s="18">
        <v>47510.66</v>
      </c>
      <c r="H233" s="18">
        <f>809+415343.69</f>
        <v>416152.69</v>
      </c>
      <c r="I233" s="18">
        <v>782.25</v>
      </c>
      <c r="J233" s="18">
        <v>768.97</v>
      </c>
      <c r="K233" s="18">
        <v>4105.3900000000003</v>
      </c>
      <c r="L233" s="19">
        <f>SUM(F233:K233)</f>
        <v>608361.81999999995</v>
      </c>
      <c r="M233" s="8"/>
      <c r="N233" s="271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11248+7341.65</f>
        <v>18589.650000000001</v>
      </c>
      <c r="I234" s="18"/>
      <c r="J234" s="18"/>
      <c r="K234" s="18"/>
      <c r="L234" s="19">
        <f>SUM(F234:K234)</f>
        <v>18589.650000000001</v>
      </c>
      <c r="M234" s="8"/>
      <c r="N234" s="271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55087.199999999997</v>
      </c>
      <c r="G235" s="18">
        <v>7884.54</v>
      </c>
      <c r="H235" s="18">
        <f>6978.5+14292+2046.96</f>
        <v>23317.46</v>
      </c>
      <c r="I235" s="18">
        <f>2987.07+102.3</f>
        <v>3089.3700000000003</v>
      </c>
      <c r="J235" s="18">
        <v>270.82</v>
      </c>
      <c r="K235" s="18">
        <f>4419.69+368.25</f>
        <v>4787.9399999999996</v>
      </c>
      <c r="L235" s="19">
        <f>SUM(F235:K235)</f>
        <v>94437.33</v>
      </c>
      <c r="M235" s="8"/>
      <c r="N235" s="271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1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86048.28+34644.71</f>
        <v>120692.98999999999</v>
      </c>
      <c r="G237" s="18">
        <f>49912.16+14714.73</f>
        <v>64626.89</v>
      </c>
      <c r="H237" s="18">
        <f>41431.09+91.2+344.27+87.37</f>
        <v>41953.929999999993</v>
      </c>
      <c r="I237" s="18">
        <f>3255.84+240.78</f>
        <v>3496.6200000000003</v>
      </c>
      <c r="J237" s="18">
        <v>279.58999999999997</v>
      </c>
      <c r="K237" s="18">
        <v>291</v>
      </c>
      <c r="L237" s="19">
        <f t="shared" ref="L237:L243" si="4">SUM(F237:K237)</f>
        <v>231341.02</v>
      </c>
      <c r="M237" s="8"/>
      <c r="N237" s="271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11922.62+22367.21</f>
        <v>34289.83</v>
      </c>
      <c r="G238" s="18">
        <f>16868.14+8184.3</f>
        <v>25052.44</v>
      </c>
      <c r="H238" s="18">
        <v>84.02</v>
      </c>
      <c r="I238" s="18">
        <f>2520.6+100</f>
        <v>2620.6</v>
      </c>
      <c r="J238" s="18"/>
      <c r="K238" s="18">
        <v>21</v>
      </c>
      <c r="L238" s="19">
        <f t="shared" si="4"/>
        <v>62067.89</v>
      </c>
      <c r="M238" s="8"/>
      <c r="N238" s="271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1331.4+87780.76</f>
        <v>89112.159999999989</v>
      </c>
      <c r="G239" s="18">
        <f>101.85+23952.95</f>
        <v>24054.799999999999</v>
      </c>
      <c r="H239" s="18">
        <f>9937.29+1841+4945.29+1411.01+6794.73+177.88+265.15+255.12</f>
        <v>25627.47</v>
      </c>
      <c r="I239" s="18">
        <f>21.93+788.94+85.14</f>
        <v>896.01</v>
      </c>
      <c r="J239" s="18">
        <v>29.39</v>
      </c>
      <c r="K239" s="18">
        <f>774+983.64+17.67</f>
        <v>1775.31</v>
      </c>
      <c r="L239" s="19">
        <f t="shared" si="4"/>
        <v>141495.14000000001</v>
      </c>
      <c r="M239" s="8"/>
      <c r="N239" s="271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135458.48000000001</v>
      </c>
      <c r="G240" s="18">
        <v>41465.25</v>
      </c>
      <c r="H240" s="18">
        <f>636.67+17363.56+159.22+794.49</f>
        <v>18953.940000000002</v>
      </c>
      <c r="I240" s="18">
        <f>2761.39+116.87</f>
        <v>2878.2599999999998</v>
      </c>
      <c r="J240" s="18">
        <v>290.85000000000002</v>
      </c>
      <c r="K240" s="18">
        <v>4938.78</v>
      </c>
      <c r="L240" s="19">
        <f t="shared" si="4"/>
        <v>203985.56000000003</v>
      </c>
      <c r="M240" s="8"/>
      <c r="N240" s="271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55106.29</v>
      </c>
      <c r="G241" s="18">
        <v>21729.02</v>
      </c>
      <c r="H241" s="18">
        <f>904.3+939.34+1726.05</f>
        <v>3569.6899999999996</v>
      </c>
      <c r="I241" s="18">
        <f>1809.27+16.89</f>
        <v>1826.16</v>
      </c>
      <c r="J241" s="18">
        <v>71.19</v>
      </c>
      <c r="K241" s="18">
        <v>7635.95</v>
      </c>
      <c r="L241" s="19">
        <f t="shared" si="4"/>
        <v>89938.3</v>
      </c>
      <c r="M241" s="8"/>
      <c r="N241" s="271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76389.39</v>
      </c>
      <c r="G242" s="18">
        <v>34410.99</v>
      </c>
      <c r="H242" s="18">
        <f>47577.15+14522.98+587.14+9054.06+374.3+55.92+13001.85</f>
        <v>85173.400000000009</v>
      </c>
      <c r="I242" s="18">
        <f>77190.27+3099.26</f>
        <v>80289.53</v>
      </c>
      <c r="J242" s="18">
        <v>11371.87</v>
      </c>
      <c r="K242" s="18"/>
      <c r="L242" s="19">
        <f t="shared" si="4"/>
        <v>287635.18000000005</v>
      </c>
      <c r="M242" s="8"/>
      <c r="N242" s="271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128779.94+95</f>
        <v>128874.94</v>
      </c>
      <c r="I243" s="18"/>
      <c r="J243" s="18"/>
      <c r="K243" s="18"/>
      <c r="L243" s="19">
        <f t="shared" si="4"/>
        <v>128874.94</v>
      </c>
      <c r="M243" s="8"/>
      <c r="N243" s="271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33260.33</v>
      </c>
      <c r="G244" s="18">
        <v>13338.42</v>
      </c>
      <c r="H244" s="18">
        <v>42.04</v>
      </c>
      <c r="I244" s="18">
        <v>29.99</v>
      </c>
      <c r="J244" s="18"/>
      <c r="K244" s="18"/>
      <c r="L244" s="19">
        <f>SUM(F244:K244)</f>
        <v>46670.78</v>
      </c>
      <c r="M244" s="8"/>
      <c r="N244" s="271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1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1838105.04</v>
      </c>
      <c r="G246" s="41">
        <f t="shared" si="5"/>
        <v>675891.67</v>
      </c>
      <c r="H246" s="41">
        <f t="shared" si="5"/>
        <v>780674.26</v>
      </c>
      <c r="I246" s="41">
        <f t="shared" si="5"/>
        <v>151443.68</v>
      </c>
      <c r="J246" s="41">
        <f t="shared" si="5"/>
        <v>36029.51</v>
      </c>
      <c r="K246" s="41">
        <f t="shared" si="5"/>
        <v>23555.37</v>
      </c>
      <c r="L246" s="41">
        <f t="shared" si="5"/>
        <v>3505699.53</v>
      </c>
      <c r="M246" s="8"/>
      <c r="N246" s="271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71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1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1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1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68138+40973.8</f>
        <v>109111.8</v>
      </c>
      <c r="I254" s="18"/>
      <c r="J254" s="18"/>
      <c r="K254" s="18"/>
      <c r="L254" s="19">
        <f t="shared" si="6"/>
        <v>109111.8</v>
      </c>
      <c r="M254" s="8"/>
      <c r="N254" s="271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109111.8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109111.8</v>
      </c>
      <c r="M255" s="8"/>
      <c r="N255" s="271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5524225.3600000003</v>
      </c>
      <c r="G256" s="41">
        <f t="shared" si="8"/>
        <v>2051743.48</v>
      </c>
      <c r="H256" s="41">
        <f t="shared" si="8"/>
        <v>2004147.57</v>
      </c>
      <c r="I256" s="41">
        <f t="shared" si="8"/>
        <v>453865.34</v>
      </c>
      <c r="J256" s="41">
        <f t="shared" si="8"/>
        <v>94615.01999999999</v>
      </c>
      <c r="K256" s="41">
        <f t="shared" si="8"/>
        <v>66509.25</v>
      </c>
      <c r="L256" s="41">
        <f t="shared" si="8"/>
        <v>10195106.02</v>
      </c>
      <c r="M256" s="8"/>
      <c r="N256" s="271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1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1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130000+195000</f>
        <v>325000</v>
      </c>
      <c r="L259" s="19">
        <f>SUM(F259:K259)</f>
        <v>325000</v>
      </c>
      <c r="M259" s="8"/>
      <c r="N259" s="271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50767.5+76151.25</f>
        <v>126918.75</v>
      </c>
      <c r="L260" s="19">
        <f>SUM(F260:K260)</f>
        <v>126918.75</v>
      </c>
      <c r="N260" s="269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69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69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69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 t="s">
        <v>287</v>
      </c>
      <c r="L264" s="19">
        <f t="shared" si="9"/>
        <v>0</v>
      </c>
      <c r="N264" s="269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55000</v>
      </c>
      <c r="L265" s="19">
        <f t="shared" si="9"/>
        <v>55000</v>
      </c>
      <c r="N265" s="269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69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69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506918.75</v>
      </c>
      <c r="L269" s="41">
        <f t="shared" si="9"/>
        <v>506918.75</v>
      </c>
      <c r="N269" s="269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5524225.3600000003</v>
      </c>
      <c r="G270" s="42">
        <f t="shared" si="11"/>
        <v>2051743.48</v>
      </c>
      <c r="H270" s="42">
        <f t="shared" si="11"/>
        <v>2004147.57</v>
      </c>
      <c r="I270" s="42">
        <f t="shared" si="11"/>
        <v>453865.34</v>
      </c>
      <c r="J270" s="42">
        <f t="shared" si="11"/>
        <v>94615.01999999999</v>
      </c>
      <c r="K270" s="42">
        <f t="shared" si="11"/>
        <v>573428</v>
      </c>
      <c r="L270" s="42">
        <f t="shared" si="11"/>
        <v>10702024.77</v>
      </c>
      <c r="M270" s="8"/>
      <c r="N270" s="271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1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71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1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1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20438.86+7631.73+0.01</f>
        <v>28070.6</v>
      </c>
      <c r="G275" s="18">
        <f>1663+1292.14</f>
        <v>2955.1400000000003</v>
      </c>
      <c r="H275" s="18">
        <f>9384.1+14792.14+2331.42</f>
        <v>26507.659999999996</v>
      </c>
      <c r="I275" s="18">
        <f>6713.83+843.24</f>
        <v>7557.07</v>
      </c>
      <c r="J275" s="18"/>
      <c r="K275" s="18" t="s">
        <v>287</v>
      </c>
      <c r="L275" s="19">
        <f>SUM(F275:K275)</f>
        <v>65090.469999999994</v>
      </c>
      <c r="M275" s="8"/>
      <c r="N275" s="271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>
        <v>7208.52</v>
      </c>
      <c r="J276" s="18">
        <v>7207.91</v>
      </c>
      <c r="K276" s="18"/>
      <c r="L276" s="19">
        <f>SUM(F276:K276)</f>
        <v>14416.43</v>
      </c>
      <c r="M276" s="8"/>
      <c r="N276" s="271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1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1957</v>
      </c>
      <c r="G278" s="18">
        <v>149.69999999999999</v>
      </c>
      <c r="H278" s="18"/>
      <c r="I278" s="18">
        <v>1469.91</v>
      </c>
      <c r="J278" s="18"/>
      <c r="K278" s="18"/>
      <c r="L278" s="19">
        <f>SUM(F278:K278)</f>
        <v>3576.6099999999997</v>
      </c>
      <c r="M278" s="8"/>
      <c r="N278" s="271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1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53978.57</v>
      </c>
      <c r="I280" s="18">
        <f>1939.22+3195.42</f>
        <v>5134.6400000000003</v>
      </c>
      <c r="J280" s="18">
        <v>7486.8</v>
      </c>
      <c r="K280" s="18"/>
      <c r="L280" s="19">
        <f t="shared" ref="L280:L286" si="12">SUM(F280:K280)</f>
        <v>66600.009999999995</v>
      </c>
      <c r="M280" s="8"/>
      <c r="N280" s="271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57036.25</v>
      </c>
      <c r="G281" s="18">
        <v>8058.44</v>
      </c>
      <c r="H281" s="18">
        <f>17241.36+232.62</f>
        <v>17473.98</v>
      </c>
      <c r="I281" s="18">
        <v>75</v>
      </c>
      <c r="J281" s="18">
        <v>17633.830000000002</v>
      </c>
      <c r="K281" s="18"/>
      <c r="L281" s="19">
        <f t="shared" si="12"/>
        <v>100277.5</v>
      </c>
      <c r="M281" s="8"/>
      <c r="N281" s="271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>
        <v>427.67</v>
      </c>
      <c r="J282" s="18"/>
      <c r="K282" s="18"/>
      <c r="L282" s="19">
        <f t="shared" si="12"/>
        <v>427.67</v>
      </c>
      <c r="M282" s="8"/>
      <c r="N282" s="271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 t="s">
        <v>287</v>
      </c>
      <c r="J287" s="18"/>
      <c r="K287" s="18"/>
      <c r="L287" s="19">
        <f>SUM(F287:K287)</f>
        <v>0</v>
      </c>
      <c r="M287" s="8"/>
      <c r="N287" s="271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1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87063.85</v>
      </c>
      <c r="G289" s="42">
        <f t="shared" si="13"/>
        <v>11163.279999999999</v>
      </c>
      <c r="H289" s="42">
        <f t="shared" si="13"/>
        <v>97960.209999999992</v>
      </c>
      <c r="I289" s="42">
        <f t="shared" si="13"/>
        <v>21872.809999999998</v>
      </c>
      <c r="J289" s="42">
        <f t="shared" si="13"/>
        <v>32328.54</v>
      </c>
      <c r="K289" s="42">
        <f t="shared" si="13"/>
        <v>0</v>
      </c>
      <c r="L289" s="41">
        <f t="shared" si="13"/>
        <v>250388.69</v>
      </c>
      <c r="M289" s="8"/>
      <c r="N289" s="271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1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71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1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1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5075.77+0.01</f>
        <v>5075.7800000000007</v>
      </c>
      <c r="G294" s="18">
        <v>930.22</v>
      </c>
      <c r="H294" s="18">
        <f>8309.12+760.6</f>
        <v>9069.7200000000012</v>
      </c>
      <c r="I294" s="18">
        <f>132.77+542.08</f>
        <v>674.85</v>
      </c>
      <c r="J294" s="18"/>
      <c r="K294" s="18"/>
      <c r="L294" s="19">
        <f>SUM(F294:K294)</f>
        <v>15750.570000000002</v>
      </c>
      <c r="M294" s="8"/>
      <c r="N294" s="271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4"/>
      <c r="J295" s="18">
        <v>1778.05</v>
      </c>
      <c r="K295" s="18"/>
      <c r="L295" s="19">
        <f>SUM(F295:K295)</f>
        <v>1778.05</v>
      </c>
      <c r="M295" s="8"/>
      <c r="N295" s="271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1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16644.400000000001</v>
      </c>
      <c r="I299" s="18">
        <v>1242.6600000000001</v>
      </c>
      <c r="J299" s="18">
        <v>4623.75</v>
      </c>
      <c r="K299" s="18"/>
      <c r="L299" s="19">
        <f t="shared" ref="L299:L305" si="14">SUM(F299:K299)</f>
        <v>22510.81</v>
      </c>
      <c r="M299" s="8"/>
      <c r="N299" s="271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652.70000000000005</v>
      </c>
      <c r="G300" s="18">
        <v>121.18</v>
      </c>
      <c r="H300" s="18">
        <f>2107.14+136.03</f>
        <v>2243.17</v>
      </c>
      <c r="I300" s="18"/>
      <c r="J300" s="18">
        <v>9646.64</v>
      </c>
      <c r="K300" s="18"/>
      <c r="L300" s="19">
        <f t="shared" si="14"/>
        <v>12663.689999999999</v>
      </c>
      <c r="M300" s="8"/>
      <c r="N300" s="271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1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1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5728.4800000000005</v>
      </c>
      <c r="G308" s="42">
        <f t="shared" si="15"/>
        <v>1051.4000000000001</v>
      </c>
      <c r="H308" s="42">
        <f t="shared" si="15"/>
        <v>27957.29</v>
      </c>
      <c r="I308" s="42">
        <f t="shared" si="15"/>
        <v>1917.5100000000002</v>
      </c>
      <c r="J308" s="42">
        <f t="shared" si="15"/>
        <v>16048.439999999999</v>
      </c>
      <c r="K308" s="42">
        <f t="shared" si="15"/>
        <v>0</v>
      </c>
      <c r="L308" s="41">
        <f t="shared" si="15"/>
        <v>52703.12000000001</v>
      </c>
      <c r="N308" s="269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1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71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1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1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3250+5356.58</f>
        <v>8606.58</v>
      </c>
      <c r="G313" s="18">
        <f>607.33+1025.4</f>
        <v>1632.73</v>
      </c>
      <c r="H313" s="18">
        <v>5367.74</v>
      </c>
      <c r="I313" s="18">
        <f>86.81+622.4</f>
        <v>709.21</v>
      </c>
      <c r="J313" s="18"/>
      <c r="K313" s="18"/>
      <c r="L313" s="19">
        <f>SUM(F313:K313)</f>
        <v>16316.259999999998</v>
      </c>
      <c r="M313" s="8"/>
      <c r="N313" s="271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>
        <f>2173.18</f>
        <v>2173.1799999999998</v>
      </c>
      <c r="J314" s="18"/>
      <c r="K314" s="18"/>
      <c r="L314" s="19">
        <f>SUM(F314:K314)</f>
        <v>2173.1799999999998</v>
      </c>
      <c r="M314" s="8"/>
      <c r="N314" s="271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1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v>19969.34</v>
      </c>
      <c r="I318" s="18">
        <v>1479.36</v>
      </c>
      <c r="J318" s="18">
        <v>5651.25</v>
      </c>
      <c r="K318" s="18"/>
      <c r="L318" s="19">
        <f t="shared" ref="L318:L324" si="16">SUM(F318:K318)</f>
        <v>27099.95</v>
      </c>
      <c r="M318" s="8"/>
      <c r="N318" s="271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4342.43</v>
      </c>
      <c r="G319" s="18">
        <v>786.79</v>
      </c>
      <c r="H319" s="18">
        <f>1597.06+139.84</f>
        <v>1736.8999999999999</v>
      </c>
      <c r="I319" s="18"/>
      <c r="J319" s="18">
        <v>11790.34</v>
      </c>
      <c r="K319" s="18"/>
      <c r="L319" s="19">
        <f t="shared" si="16"/>
        <v>18656.46</v>
      </c>
      <c r="M319" s="8"/>
      <c r="N319" s="271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1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1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12949.01</v>
      </c>
      <c r="G327" s="42">
        <f t="shared" si="17"/>
        <v>2419.52</v>
      </c>
      <c r="H327" s="42">
        <f t="shared" si="17"/>
        <v>27073.980000000003</v>
      </c>
      <c r="I327" s="42">
        <f t="shared" si="17"/>
        <v>4361.75</v>
      </c>
      <c r="J327" s="42">
        <f t="shared" si="17"/>
        <v>17441.59</v>
      </c>
      <c r="K327" s="42">
        <f t="shared" si="17"/>
        <v>0</v>
      </c>
      <c r="L327" s="41">
        <f t="shared" si="17"/>
        <v>64245.85</v>
      </c>
      <c r="M327" s="8"/>
      <c r="N327" s="271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1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71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1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1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1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1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105741.34</v>
      </c>
      <c r="G337" s="41">
        <f t="shared" si="20"/>
        <v>14634.199999999999</v>
      </c>
      <c r="H337" s="41">
        <f t="shared" si="20"/>
        <v>152991.48000000001</v>
      </c>
      <c r="I337" s="41">
        <f t="shared" si="20"/>
        <v>28152.07</v>
      </c>
      <c r="J337" s="41">
        <f t="shared" si="20"/>
        <v>65818.569999999992</v>
      </c>
      <c r="K337" s="41">
        <f t="shared" si="20"/>
        <v>0</v>
      </c>
      <c r="L337" s="41">
        <f t="shared" si="20"/>
        <v>367337.66</v>
      </c>
      <c r="M337" s="8"/>
      <c r="N337" s="271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1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1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1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0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1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1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 t="s">
        <v>287</v>
      </c>
      <c r="L346" s="19">
        <f t="shared" si="21"/>
        <v>0</v>
      </c>
      <c r="M346" s="8"/>
      <c r="N346" s="271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1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1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1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105741.34</v>
      </c>
      <c r="G351" s="41">
        <f>G337</f>
        <v>14634.199999999999</v>
      </c>
      <c r="H351" s="41">
        <f>H337</f>
        <v>152991.48000000001</v>
      </c>
      <c r="I351" s="41">
        <f>I337</f>
        <v>28152.07</v>
      </c>
      <c r="J351" s="41">
        <f>J337</f>
        <v>65818.569999999992</v>
      </c>
      <c r="K351" s="47">
        <f>K337+K350</f>
        <v>0</v>
      </c>
      <c r="L351" s="41">
        <f>L337+L350</f>
        <v>367337.66</v>
      </c>
      <c r="M351" s="52"/>
      <c r="N351" s="270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1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71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1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1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47115.49</v>
      </c>
      <c r="G357" s="18">
        <v>4605.18</v>
      </c>
      <c r="H357" s="18">
        <f>2617.6+758.43</f>
        <v>3376.0299999999997</v>
      </c>
      <c r="I357" s="18">
        <f>40198.66+861.35</f>
        <v>41060.01</v>
      </c>
      <c r="J357" s="18">
        <v>1894.25</v>
      </c>
      <c r="K357" s="18">
        <v>366.71</v>
      </c>
      <c r="L357" s="13">
        <f>SUM(F357:K357)</f>
        <v>98417.67</v>
      </c>
      <c r="N357" s="269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27821.41</v>
      </c>
      <c r="G358" s="18">
        <v>2607</v>
      </c>
      <c r="H358" s="18">
        <f>661.24+362.73</f>
        <v>1023.97</v>
      </c>
      <c r="I358" s="18">
        <f>18115.72+411.95</f>
        <v>18527.670000000002</v>
      </c>
      <c r="J358" s="18">
        <v>19.25</v>
      </c>
      <c r="K358" s="18">
        <v>175.38</v>
      </c>
      <c r="L358" s="19">
        <f>SUM(F358:K358)</f>
        <v>50174.68</v>
      </c>
      <c r="M358" s="8"/>
      <c r="N358" s="271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27581.18</v>
      </c>
      <c r="G359" s="18">
        <v>2806.2</v>
      </c>
      <c r="H359" s="18">
        <f>972.62+527.61</f>
        <v>1500.23</v>
      </c>
      <c r="I359" s="18">
        <f>26350.13+599.21</f>
        <v>26949.34</v>
      </c>
      <c r="J359" s="18">
        <v>28</v>
      </c>
      <c r="K359" s="18">
        <v>255.1</v>
      </c>
      <c r="L359" s="19">
        <f>SUM(F359:K359)</f>
        <v>59120.049999999996</v>
      </c>
      <c r="M359" s="8"/>
      <c r="N359" s="271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1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102518.07999999999</v>
      </c>
      <c r="G361" s="47">
        <f t="shared" si="22"/>
        <v>10018.380000000001</v>
      </c>
      <c r="H361" s="47">
        <f t="shared" si="22"/>
        <v>5900.23</v>
      </c>
      <c r="I361" s="47">
        <f t="shared" si="22"/>
        <v>86537.02</v>
      </c>
      <c r="J361" s="47">
        <f t="shared" si="22"/>
        <v>1941.5</v>
      </c>
      <c r="K361" s="47">
        <f t="shared" si="22"/>
        <v>797.18999999999994</v>
      </c>
      <c r="L361" s="47">
        <f t="shared" si="22"/>
        <v>207712.4</v>
      </c>
      <c r="M361" s="8"/>
      <c r="N361" s="271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1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1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1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36255.25</v>
      </c>
      <c r="G366" s="18">
        <v>17339.47</v>
      </c>
      <c r="H366" s="18">
        <v>25221.040000000001</v>
      </c>
      <c r="I366" s="56">
        <f>SUM(F366:H366)</f>
        <v>78815.760000000009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4804.76</v>
      </c>
      <c r="G367" s="63">
        <v>1188.2</v>
      </c>
      <c r="H367" s="63">
        <v>1728.3</v>
      </c>
      <c r="I367" s="56">
        <f>SUM(F367:H367)</f>
        <v>7721.26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41060.01</v>
      </c>
      <c r="G368" s="47">
        <f>SUM(G366:G367)</f>
        <v>18527.670000000002</v>
      </c>
      <c r="H368" s="47">
        <f>SUM(H366:H367)</f>
        <v>26949.34</v>
      </c>
      <c r="I368" s="47">
        <f>SUM(I366:I367)</f>
        <v>86537.02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1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71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1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1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1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36000</v>
      </c>
      <c r="I374" s="18"/>
      <c r="J374" s="18"/>
      <c r="K374" s="18"/>
      <c r="L374" s="13">
        <f t="shared" ref="L374:L380" si="23">SUM(F374:K374)</f>
        <v>36000</v>
      </c>
      <c r="M374" s="8"/>
      <c r="N374" s="271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1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f>28923.5+255+703.8</f>
        <v>29882.3</v>
      </c>
      <c r="I377" s="18"/>
      <c r="J377" s="18">
        <v>1011.74</v>
      </c>
      <c r="K377" s="18"/>
      <c r="L377" s="13">
        <f t="shared" si="23"/>
        <v>30894.04</v>
      </c>
      <c r="M377" s="8"/>
      <c r="N377" s="271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>
        <v>4000</v>
      </c>
      <c r="K379" s="18"/>
      <c r="L379" s="13">
        <f t="shared" si="23"/>
        <v>4000</v>
      </c>
      <c r="M379" s="8"/>
      <c r="N379" s="271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1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65882.3</v>
      </c>
      <c r="I381" s="41">
        <f t="shared" si="24"/>
        <v>0</v>
      </c>
      <c r="J381" s="47">
        <f t="shared" si="24"/>
        <v>5011.74</v>
      </c>
      <c r="K381" s="47">
        <f t="shared" si="24"/>
        <v>0</v>
      </c>
      <c r="L381" s="47">
        <f t="shared" si="24"/>
        <v>70894.040000000008</v>
      </c>
      <c r="M381" s="8"/>
      <c r="N381" s="271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1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1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1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1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1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1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1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 t="s">
        <v>287</v>
      </c>
      <c r="H395" s="18">
        <v>39.51</v>
      </c>
      <c r="I395" s="18"/>
      <c r="J395" s="24" t="s">
        <v>289</v>
      </c>
      <c r="K395" s="24" t="s">
        <v>289</v>
      </c>
      <c r="L395" s="56">
        <f t="shared" si="26"/>
        <v>39.51</v>
      </c>
      <c r="M395" s="8"/>
      <c r="N395" s="271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v>106.86</v>
      </c>
      <c r="I396" s="18"/>
      <c r="J396" s="24" t="s">
        <v>289</v>
      </c>
      <c r="K396" s="24" t="s">
        <v>289</v>
      </c>
      <c r="L396" s="56">
        <f t="shared" si="26"/>
        <v>50106.86</v>
      </c>
      <c r="M396" s="8"/>
      <c r="N396" s="271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5000</v>
      </c>
      <c r="H398" s="18">
        <v>0.96</v>
      </c>
      <c r="I398" s="18"/>
      <c r="J398" s="24" t="s">
        <v>289</v>
      </c>
      <c r="K398" s="24" t="s">
        <v>289</v>
      </c>
      <c r="L398" s="56">
        <f t="shared" si="26"/>
        <v>5000.96</v>
      </c>
      <c r="M398" s="8"/>
      <c r="N398" s="271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55000</v>
      </c>
      <c r="H400" s="47">
        <f>SUM(H394:H399)</f>
        <v>147.33000000000001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55147.33</v>
      </c>
      <c r="M400" s="8"/>
      <c r="N400" s="271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1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1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55000</v>
      </c>
      <c r="H407" s="47">
        <f>H392+H400+H406</f>
        <v>147.33000000000001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55147.33</v>
      </c>
      <c r="M407" s="8"/>
      <c r="N407" s="271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71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1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1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1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1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0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 t="s">
        <v>287</v>
      </c>
      <c r="I414" s="18"/>
      <c r="J414" s="18"/>
      <c r="K414" s="18"/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1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 t="s">
        <v>287</v>
      </c>
      <c r="I417" s="18"/>
      <c r="J417" s="18">
        <v>3957.1</v>
      </c>
      <c r="K417" s="18"/>
      <c r="L417" s="56">
        <f t="shared" si="27"/>
        <v>3957.1</v>
      </c>
      <c r="M417" s="8"/>
      <c r="N417" s="271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3957.1</v>
      </c>
      <c r="K418" s="139">
        <f t="shared" si="28"/>
        <v>0</v>
      </c>
      <c r="L418" s="47">
        <f t="shared" si="28"/>
        <v>3957.1</v>
      </c>
      <c r="M418" s="8"/>
      <c r="N418" s="271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1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1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1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1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69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1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1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3957.1</v>
      </c>
      <c r="K433" s="47">
        <f t="shared" si="32"/>
        <v>0</v>
      </c>
      <c r="L433" s="47">
        <f t="shared" si="32"/>
        <v>3957.1</v>
      </c>
      <c r="M433" s="8"/>
      <c r="N433" s="271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1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1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1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1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f>65354.52+211104.8+1551.98</f>
        <v>278011.3</v>
      </c>
      <c r="G438" s="18"/>
      <c r="H438" s="18"/>
      <c r="I438" s="56">
        <f t="shared" ref="I438:I444" si="33">SUM(F438:H438)</f>
        <v>278011.3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278011.3</v>
      </c>
      <c r="G445" s="13">
        <f>SUM(G438:G444)</f>
        <v>0</v>
      </c>
      <c r="H445" s="13">
        <f>SUM(H438:H444)</f>
        <v>0</v>
      </c>
      <c r="I445" s="13">
        <f>SUM(I438:I444)</f>
        <v>278011.3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1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278011.3</v>
      </c>
      <c r="G455" s="18"/>
      <c r="H455" s="18"/>
      <c r="I455" s="56">
        <f t="shared" si="34"/>
        <v>278011.3</v>
      </c>
      <c r="J455" s="24" t="s">
        <v>289</v>
      </c>
      <c r="K455" s="24" t="s">
        <v>289</v>
      </c>
      <c r="L455" s="24" t="s">
        <v>289</v>
      </c>
      <c r="M455" s="8"/>
      <c r="N455" s="271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0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278011.3</v>
      </c>
      <c r="G459" s="83">
        <f>SUM(G453:G458)</f>
        <v>0</v>
      </c>
      <c r="H459" s="83">
        <f>SUM(H453:H458)</f>
        <v>0</v>
      </c>
      <c r="I459" s="83">
        <f>SUM(I453:I458)</f>
        <v>278011.3</v>
      </c>
      <c r="J459" s="24" t="s">
        <v>289</v>
      </c>
      <c r="K459" s="24" t="s">
        <v>289</v>
      </c>
      <c r="L459" s="24" t="s">
        <v>289</v>
      </c>
      <c r="N459" s="270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278011.3</v>
      </c>
      <c r="G460" s="42">
        <f>G451+G459</f>
        <v>0</v>
      </c>
      <c r="H460" s="42">
        <f>H451+H459</f>
        <v>0</v>
      </c>
      <c r="I460" s="42">
        <f>I451+I459</f>
        <v>278011.3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0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0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0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595382.72</v>
      </c>
      <c r="G464" s="18">
        <v>-13858.9</v>
      </c>
      <c r="H464" s="18">
        <v>0</v>
      </c>
      <c r="I464" s="18">
        <v>40125.68</v>
      </c>
      <c r="J464" s="18">
        <v>226821.07</v>
      </c>
      <c r="K464" s="24" t="s">
        <v>289</v>
      </c>
      <c r="L464" s="24" t="s">
        <v>289</v>
      </c>
      <c r="N464" s="270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10706575.33</v>
      </c>
      <c r="G467" s="18">
        <f>186284.92</f>
        <v>186284.92</v>
      </c>
      <c r="H467" s="18">
        <v>368414.9</v>
      </c>
      <c r="I467" s="18">
        <f>40993.32-11492</f>
        <v>29501.32</v>
      </c>
      <c r="J467" s="18">
        <f>55000+39.51+106.86+0.96</f>
        <v>55147.33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f>-20000-81.5-55000</f>
        <v>-75081.5</v>
      </c>
      <c r="G468" s="18">
        <v>27261</v>
      </c>
      <c r="H468" s="18" t="s">
        <v>287</v>
      </c>
      <c r="I468" s="18" t="s">
        <v>287</v>
      </c>
      <c r="J468" s="18"/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10631493.83</v>
      </c>
      <c r="G469" s="53">
        <f>SUM(G467:G468)</f>
        <v>213545.92</v>
      </c>
      <c r="H469" s="53">
        <f>SUM(H467:H468)</f>
        <v>368414.9</v>
      </c>
      <c r="I469" s="53">
        <f>SUM(I467:I468)</f>
        <v>29501.32</v>
      </c>
      <c r="J469" s="53">
        <f>SUM(J467:J468)</f>
        <v>55147.33</v>
      </c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10697024.77+5000</f>
        <v>10702024.77</v>
      </c>
      <c r="G471" s="18">
        <v>207712.4</v>
      </c>
      <c r="H471" s="18">
        <f>367534.34-129.48-67.2</f>
        <v>367337.66000000003</v>
      </c>
      <c r="I471" s="18">
        <v>70894.039999999994</v>
      </c>
      <c r="J471" s="18">
        <v>3957.1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f>70895-29501+27261+5763.62</f>
        <v>74418.62</v>
      </c>
      <c r="G472" s="18" t="s">
        <v>287</v>
      </c>
      <c r="H472" s="18"/>
      <c r="I472" s="18">
        <v>-1267.04</v>
      </c>
      <c r="J472" s="18"/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10776443.389999999</v>
      </c>
      <c r="G473" s="53">
        <f>SUM(G471:G472)</f>
        <v>207712.4</v>
      </c>
      <c r="H473" s="53">
        <f>SUM(H471:H472)</f>
        <v>367337.66000000003</v>
      </c>
      <c r="I473" s="53">
        <f>SUM(I471:I472)</f>
        <v>69627</v>
      </c>
      <c r="J473" s="53">
        <f>SUM(J471:J472)</f>
        <v>3957.1</v>
      </c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450433.16000000201</v>
      </c>
      <c r="G475" s="53">
        <f>(G464+G469)- G473</f>
        <v>-8025.3799999999756</v>
      </c>
      <c r="H475" s="53">
        <f>(H464+H469)- H473</f>
        <v>1077.2399999999907</v>
      </c>
      <c r="I475" s="53">
        <f>(I464+I469)- I473</f>
        <v>0</v>
      </c>
      <c r="J475" s="53">
        <f>(J464+J469)- J473</f>
        <v>278011.30000000005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0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0"/>
    </row>
    <row r="479" spans="1:14" s="52" customFormat="1" ht="12" customHeight="1" x14ac:dyDescent="0.2">
      <c r="A479" s="18" t="s">
        <v>911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0"/>
    </row>
    <row r="480" spans="1:14" s="52" customFormat="1" ht="12" customHeight="1" x14ac:dyDescent="0.2">
      <c r="A480" s="273" t="s">
        <v>916</v>
      </c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0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0"/>
    </row>
    <row r="482" spans="1:14" s="52" customFormat="1" ht="12" customHeight="1" x14ac:dyDescent="0.2">
      <c r="A482" s="174" t="s">
        <v>913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0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0"/>
    </row>
    <row r="484" spans="1:14" s="52" customFormat="1" ht="12" customHeight="1" x14ac:dyDescent="0.2">
      <c r="A484" s="174" t="s">
        <v>915</v>
      </c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0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0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0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0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0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0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6476775</v>
      </c>
      <c r="G492" s="18"/>
      <c r="H492" s="18"/>
      <c r="I492" s="18"/>
      <c r="J492" s="18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/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2580000</v>
      </c>
      <c r="G494" s="18"/>
      <c r="H494" s="18"/>
      <c r="I494" s="18"/>
      <c r="J494" s="18"/>
      <c r="K494" s="53">
        <f>SUM(F494:J494)</f>
        <v>2580000</v>
      </c>
      <c r="L494" s="24" t="s">
        <v>289</v>
      </c>
      <c r="N494" s="270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0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325000</v>
      </c>
      <c r="G496" s="18"/>
      <c r="H496" s="18"/>
      <c r="I496" s="18"/>
      <c r="J496" s="18"/>
      <c r="K496" s="53">
        <f t="shared" si="35"/>
        <v>325000</v>
      </c>
      <c r="L496" s="24" t="s">
        <v>289</v>
      </c>
      <c r="N496" s="270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>
        <f>F494-F496</f>
        <v>2255000</v>
      </c>
      <c r="G497" s="203"/>
      <c r="H497" s="203"/>
      <c r="I497" s="203"/>
      <c r="J497" s="203"/>
      <c r="K497" s="204">
        <f t="shared" si="35"/>
        <v>2255000</v>
      </c>
      <c r="L497" s="205" t="s">
        <v>289</v>
      </c>
      <c r="N497" s="270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539700-50767.5-76151.25</f>
        <v>412781.25</v>
      </c>
      <c r="G498" s="18"/>
      <c r="H498" s="18"/>
      <c r="I498" s="18"/>
      <c r="J498" s="18"/>
      <c r="K498" s="53">
        <f t="shared" si="35"/>
        <v>412781.25</v>
      </c>
      <c r="L498" s="24" t="s">
        <v>289</v>
      </c>
      <c r="N498" s="270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2667781.25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2667781.25</v>
      </c>
      <c r="L499" s="45" t="s">
        <v>289</v>
      </c>
      <c r="N499" s="270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>
        <v>325000</v>
      </c>
      <c r="G500" s="203"/>
      <c r="H500" s="203"/>
      <c r="I500" s="203"/>
      <c r="J500" s="203"/>
      <c r="K500" s="204">
        <f t="shared" si="35"/>
        <v>325000</v>
      </c>
      <c r="L500" s="205" t="s">
        <v>289</v>
      </c>
      <c r="N500" s="270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109856</v>
      </c>
      <c r="G501" s="18"/>
      <c r="H501" s="18"/>
      <c r="I501" s="18"/>
      <c r="J501" s="18"/>
      <c r="K501" s="53">
        <f t="shared" si="35"/>
        <v>109856</v>
      </c>
      <c r="L501" s="24" t="s">
        <v>289</v>
      </c>
      <c r="N501" s="270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434856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434856</v>
      </c>
      <c r="L502" s="45" t="s">
        <v>289</v>
      </c>
      <c r="N502" s="270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0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0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0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0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0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0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70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0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0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1676.43+41546.12+464735.5</f>
        <v>507958.05</v>
      </c>
      <c r="G520" s="18">
        <f>154.23+17645.99+133163.03</f>
        <v>150963.25</v>
      </c>
      <c r="H520" s="18">
        <f>412.85+12281.69+7342.7</f>
        <v>20037.240000000002</v>
      </c>
      <c r="I520" s="18">
        <f>288.74+5937.7+7208.52+1469.91+5500</f>
        <v>20404.87</v>
      </c>
      <c r="J520" s="18">
        <f>335.29+6707.39+7207.91+17633.83</f>
        <v>31884.420000000002</v>
      </c>
      <c r="K520" s="18"/>
      <c r="L520" s="88">
        <f>SUM(F520:K520)</f>
        <v>731247.83000000007</v>
      </c>
      <c r="N520" s="270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925.62+22939.17+146168.1</f>
        <v>170032.89</v>
      </c>
      <c r="G521" s="18">
        <f>85.16+9743.01+36867.39</f>
        <v>46695.56</v>
      </c>
      <c r="H521" s="18">
        <f>227.95+90126.3</f>
        <v>90354.25</v>
      </c>
      <c r="I521" s="18">
        <f>159.43+863.78</f>
        <v>1023.21</v>
      </c>
      <c r="J521" s="18">
        <f>185.12+450.85+1778.05+9646.64</f>
        <v>12060.66</v>
      </c>
      <c r="K521" s="18"/>
      <c r="L521" s="88">
        <f>SUM(F521:K521)</f>
        <v>320166.57</v>
      </c>
      <c r="N521" s="270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1397.95+34644.71+139041.86</f>
        <v>175084.52</v>
      </c>
      <c r="G522" s="18">
        <f>128.61+14714.73+47510.66</f>
        <v>62354</v>
      </c>
      <c r="H522" s="18">
        <f>344.27+416152.69</f>
        <v>416496.96</v>
      </c>
      <c r="I522" s="18">
        <f>240.78+782.25+3652.54+2173.16</f>
        <v>6848.73</v>
      </c>
      <c r="J522" s="18">
        <f>279.59+768.97+11790.34</f>
        <v>12838.9</v>
      </c>
      <c r="K522" s="18"/>
      <c r="L522" s="88">
        <f>SUM(F522:K522)</f>
        <v>673623.11</v>
      </c>
      <c r="N522" s="270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853075.46</v>
      </c>
      <c r="G523" s="108">
        <f t="shared" ref="G523:L523" si="36">SUM(G520:G522)</f>
        <v>260012.81</v>
      </c>
      <c r="H523" s="108">
        <f t="shared" si="36"/>
        <v>526888.45000000007</v>
      </c>
      <c r="I523" s="108">
        <f t="shared" si="36"/>
        <v>28276.809999999998</v>
      </c>
      <c r="J523" s="108">
        <f t="shared" si="36"/>
        <v>56783.98</v>
      </c>
      <c r="K523" s="108">
        <f t="shared" si="36"/>
        <v>0</v>
      </c>
      <c r="L523" s="89">
        <f t="shared" si="36"/>
        <v>1725037.5100000002</v>
      </c>
      <c r="N523" s="270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0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53978.57+322006.04+614.08</f>
        <v>376598.69</v>
      </c>
      <c r="I525" s="18">
        <f>5134.64</f>
        <v>5134.6400000000003</v>
      </c>
      <c r="J525" s="18">
        <v>7486.8</v>
      </c>
      <c r="K525" s="18" t="s">
        <v>287</v>
      </c>
      <c r="L525" s="88">
        <f>SUM(F525:K525)</f>
        <v>389220.13</v>
      </c>
      <c r="M525" s="8"/>
      <c r="N525" s="271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f>16644.4+63806.1</f>
        <v>80450.5</v>
      </c>
      <c r="I526" s="18">
        <v>1242.6600000000001</v>
      </c>
      <c r="J526" s="18">
        <v>4623.75</v>
      </c>
      <c r="K526" s="18"/>
      <c r="L526" s="88">
        <f>SUM(F526:K526)</f>
        <v>86316.91</v>
      </c>
      <c r="M526" s="8"/>
      <c r="N526" s="271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19969.34+37635.16</f>
        <v>57604.5</v>
      </c>
      <c r="I527" s="18">
        <v>1479.36</v>
      </c>
      <c r="J527" s="18">
        <v>5651.25</v>
      </c>
      <c r="K527" s="18"/>
      <c r="L527" s="88">
        <f>SUM(F527:K527)</f>
        <v>64735.11</v>
      </c>
      <c r="M527" s="8"/>
      <c r="N527" s="271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514653.69</v>
      </c>
      <c r="I528" s="89">
        <f t="shared" si="37"/>
        <v>7856.66</v>
      </c>
      <c r="J528" s="89">
        <f t="shared" si="37"/>
        <v>17761.8</v>
      </c>
      <c r="K528" s="89">
        <f t="shared" si="37"/>
        <v>0</v>
      </c>
      <c r="L528" s="89">
        <f t="shared" si="37"/>
        <v>540272.15</v>
      </c>
      <c r="M528" s="8"/>
      <c r="N528" s="271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1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44544.93</v>
      </c>
      <c r="G530" s="18">
        <f>20900.14+9660.43</f>
        <v>30560.57</v>
      </c>
      <c r="H530" s="18">
        <f>800.03+3827.23+100.75</f>
        <v>4728.01</v>
      </c>
      <c r="I530" s="18">
        <v>283.88</v>
      </c>
      <c r="J530" s="18"/>
      <c r="K530" s="18">
        <f>98.49+4923.2</f>
        <v>5021.6899999999996</v>
      </c>
      <c r="L530" s="88">
        <f>SUM(F530:K530)</f>
        <v>85139.08</v>
      </c>
      <c r="M530" s="8"/>
      <c r="N530" s="271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24594.93</v>
      </c>
      <c r="G531" s="18">
        <f>11539.75+5333.88</f>
        <v>16873.63</v>
      </c>
      <c r="H531" s="18">
        <f>441.73+2113.16+55.63</f>
        <v>2610.52</v>
      </c>
      <c r="I531" s="18">
        <v>156.74</v>
      </c>
      <c r="J531" s="18"/>
      <c r="K531" s="18">
        <f>54.38+2718.28</f>
        <v>2772.6600000000003</v>
      </c>
      <c r="L531" s="88">
        <f>SUM(F531:K531)</f>
        <v>47008.479999999996</v>
      </c>
      <c r="M531" s="8"/>
      <c r="N531" s="271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37145.370000000003</v>
      </c>
      <c r="G532" s="18">
        <f>17428.32+8055.69</f>
        <v>25484.01</v>
      </c>
      <c r="H532" s="18">
        <f>667.13+3191.47+84.02</f>
        <v>3942.62</v>
      </c>
      <c r="I532" s="18">
        <v>236.73</v>
      </c>
      <c r="J532" s="18"/>
      <c r="K532" s="18">
        <f>82.13+4105.39</f>
        <v>4187.5200000000004</v>
      </c>
      <c r="L532" s="88">
        <f>SUM(F532:K532)</f>
        <v>70996.25</v>
      </c>
      <c r="M532" s="8"/>
      <c r="N532" s="271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106285.23000000001</v>
      </c>
      <c r="G533" s="89">
        <f t="shared" ref="G533:L533" si="38">SUM(G530:G532)</f>
        <v>72918.209999999992</v>
      </c>
      <c r="H533" s="89">
        <f t="shared" si="38"/>
        <v>11281.150000000001</v>
      </c>
      <c r="I533" s="89">
        <f t="shared" si="38"/>
        <v>677.35</v>
      </c>
      <c r="J533" s="89">
        <f t="shared" si="38"/>
        <v>0</v>
      </c>
      <c r="K533" s="89">
        <f t="shared" si="38"/>
        <v>11981.87</v>
      </c>
      <c r="L533" s="89">
        <f t="shared" si="38"/>
        <v>203143.81</v>
      </c>
      <c r="M533" s="8"/>
      <c r="N533" s="271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71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93.72+45.02</f>
        <v>138.74</v>
      </c>
      <c r="I535" s="18"/>
      <c r="J535" s="18"/>
      <c r="K535" s="18"/>
      <c r="L535" s="88">
        <f>SUM(F535:K535)</f>
        <v>138.74</v>
      </c>
      <c r="M535" s="8"/>
      <c r="N535" s="271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f>79.67+24.86</f>
        <v>104.53</v>
      </c>
      <c r="I536" s="18"/>
      <c r="J536" s="18"/>
      <c r="K536" s="18"/>
      <c r="L536" s="88">
        <f>SUM(F536:K536)</f>
        <v>104.53</v>
      </c>
      <c r="M536" s="8"/>
      <c r="N536" s="271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104.63+37.55</f>
        <v>142.18</v>
      </c>
      <c r="I537" s="18"/>
      <c r="J537" s="18"/>
      <c r="K537" s="18"/>
      <c r="L537" s="88">
        <f>SUM(F537:K537)</f>
        <v>142.18</v>
      </c>
      <c r="M537" s="8"/>
      <c r="N537" s="271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385.45000000000005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385.45000000000005</v>
      </c>
      <c r="M538" s="8"/>
      <c r="N538" s="271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1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33139.599999999999</v>
      </c>
      <c r="I540" s="18"/>
      <c r="J540" s="18"/>
      <c r="K540" s="18"/>
      <c r="L540" s="88">
        <f>SUM(F540:K540)</f>
        <v>33139.599999999999</v>
      </c>
      <c r="M540" s="8"/>
      <c r="N540" s="271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34615</v>
      </c>
      <c r="I541" s="18"/>
      <c r="J541" s="18"/>
      <c r="K541" s="18"/>
      <c r="L541" s="88">
        <f>SUM(F541:K541)</f>
        <v>34615</v>
      </c>
      <c r="M541" s="8"/>
      <c r="N541" s="271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81247.55+95</f>
        <v>81342.55</v>
      </c>
      <c r="I542" s="18"/>
      <c r="J542" s="18"/>
      <c r="K542" s="18"/>
      <c r="L542" s="88">
        <f>SUM(F542:K542)</f>
        <v>81342.55</v>
      </c>
      <c r="M542" s="8"/>
      <c r="N542" s="271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0</v>
      </c>
      <c r="G543" s="192">
        <f t="shared" ref="G543:L543" si="40">SUM(G540:G542)</f>
        <v>0</v>
      </c>
      <c r="H543" s="192">
        <f t="shared" si="40"/>
        <v>149097.15000000002</v>
      </c>
      <c r="I543" s="192">
        <f t="shared" si="40"/>
        <v>0</v>
      </c>
      <c r="J543" s="192">
        <f t="shared" si="40"/>
        <v>0</v>
      </c>
      <c r="K543" s="192">
        <f t="shared" si="40"/>
        <v>0</v>
      </c>
      <c r="L543" s="192">
        <f t="shared" si="40"/>
        <v>149097.15000000002</v>
      </c>
      <c r="M543" s="8"/>
      <c r="N543" s="271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959360.69</v>
      </c>
      <c r="G544" s="89">
        <f t="shared" ref="G544:L544" si="41">G523+G528+G533+G538+G543</f>
        <v>332931.02</v>
      </c>
      <c r="H544" s="89">
        <f t="shared" si="41"/>
        <v>1202305.8900000001</v>
      </c>
      <c r="I544" s="89">
        <f t="shared" si="41"/>
        <v>36810.82</v>
      </c>
      <c r="J544" s="89">
        <f t="shared" si="41"/>
        <v>74545.78</v>
      </c>
      <c r="K544" s="89">
        <f t="shared" si="41"/>
        <v>11981.87</v>
      </c>
      <c r="L544" s="89">
        <f t="shared" si="41"/>
        <v>2617936.0700000003</v>
      </c>
      <c r="M544" s="8"/>
      <c r="N544" s="271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1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1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1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731247.83000000007</v>
      </c>
      <c r="G548" s="87">
        <f>L525</f>
        <v>389220.13</v>
      </c>
      <c r="H548" s="87">
        <f>L530</f>
        <v>85139.08</v>
      </c>
      <c r="I548" s="87">
        <f>L535</f>
        <v>138.74</v>
      </c>
      <c r="J548" s="87">
        <f>L540</f>
        <v>33139.599999999999</v>
      </c>
      <c r="K548" s="87">
        <f>SUM(F548:J548)</f>
        <v>1238885.3800000001</v>
      </c>
      <c r="L548" s="24" t="s">
        <v>289</v>
      </c>
      <c r="M548" s="8"/>
      <c r="N548" s="271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320166.57</v>
      </c>
      <c r="G549" s="87">
        <f>L526</f>
        <v>86316.91</v>
      </c>
      <c r="H549" s="87">
        <f>L531</f>
        <v>47008.479999999996</v>
      </c>
      <c r="I549" s="87">
        <f>L536</f>
        <v>104.53</v>
      </c>
      <c r="J549" s="87">
        <f>L541</f>
        <v>34615</v>
      </c>
      <c r="K549" s="87">
        <f>SUM(F549:J549)</f>
        <v>488211.49</v>
      </c>
      <c r="L549" s="24" t="s">
        <v>289</v>
      </c>
      <c r="M549" s="8"/>
      <c r="N549" s="271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673623.11</v>
      </c>
      <c r="G550" s="87">
        <f>L527</f>
        <v>64735.11</v>
      </c>
      <c r="H550" s="87">
        <f>L532</f>
        <v>70996.25</v>
      </c>
      <c r="I550" s="87">
        <f>L537</f>
        <v>142.18</v>
      </c>
      <c r="J550" s="87">
        <f>L542</f>
        <v>81342.55</v>
      </c>
      <c r="K550" s="87">
        <f>SUM(F550:J550)</f>
        <v>890839.20000000007</v>
      </c>
      <c r="L550" s="24" t="s">
        <v>289</v>
      </c>
      <c r="M550" s="8"/>
      <c r="N550" s="271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1725037.5100000002</v>
      </c>
      <c r="G551" s="89">
        <f t="shared" si="42"/>
        <v>540272.15</v>
      </c>
      <c r="H551" s="89">
        <f t="shared" si="42"/>
        <v>203143.81</v>
      </c>
      <c r="I551" s="89">
        <f t="shared" si="42"/>
        <v>385.45000000000005</v>
      </c>
      <c r="J551" s="89">
        <f t="shared" si="42"/>
        <v>149097.15000000002</v>
      </c>
      <c r="K551" s="89">
        <f t="shared" si="42"/>
        <v>2617936.0700000003</v>
      </c>
      <c r="L551" s="24"/>
      <c r="M551" s="8"/>
      <c r="N551" s="271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1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71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1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1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1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1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1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1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1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1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1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71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1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1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1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>
        <v>89994.58</v>
      </c>
      <c r="H577" s="18"/>
      <c r="I577" s="87">
        <f t="shared" si="47"/>
        <v>89994.58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98800.98</v>
      </c>
      <c r="I578" s="87">
        <f t="shared" si="47"/>
        <v>98800.98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316542.71000000002</v>
      </c>
      <c r="I581" s="87">
        <f t="shared" si="47"/>
        <v>316542.71000000002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11248</v>
      </c>
      <c r="I583" s="87">
        <f t="shared" si="47"/>
        <v>11248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1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1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201050</v>
      </c>
      <c r="I590" s="18"/>
      <c r="J590" s="18"/>
      <c r="K590" s="104">
        <f t="shared" ref="K590:K596" si="48">SUM(H590:J590)</f>
        <v>201050</v>
      </c>
      <c r="L590" s="24" t="s">
        <v>289</v>
      </c>
      <c r="M590" s="8"/>
      <c r="N590" s="271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33139.599999999999</v>
      </c>
      <c r="I591" s="18">
        <v>34615</v>
      </c>
      <c r="J591" s="18">
        <f>81247.55+95</f>
        <v>81342.55</v>
      </c>
      <c r="K591" s="104">
        <f t="shared" si="48"/>
        <v>149097.15000000002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23706</v>
      </c>
      <c r="K592" s="104">
        <f t="shared" si="48"/>
        <v>23706</v>
      </c>
      <c r="L592" s="24" t="s">
        <v>289</v>
      </c>
      <c r="M592" s="8"/>
      <c r="N592" s="271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14132.32</v>
      </c>
      <c r="J593" s="18">
        <v>21198.57</v>
      </c>
      <c r="K593" s="104">
        <f t="shared" si="48"/>
        <v>35330.89</v>
      </c>
      <c r="L593" s="24" t="s">
        <v>289</v>
      </c>
      <c r="M593" s="8"/>
      <c r="N593" s="271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4467.49</v>
      </c>
      <c r="I594" s="18">
        <v>2951.87</v>
      </c>
      <c r="J594" s="18">
        <v>2627.82</v>
      </c>
      <c r="K594" s="104">
        <f t="shared" si="48"/>
        <v>10047.18</v>
      </c>
      <c r="L594" s="24" t="s">
        <v>289</v>
      </c>
      <c r="M594" s="8"/>
      <c r="N594" s="271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1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238657.09</v>
      </c>
      <c r="I597" s="108">
        <f>SUM(I590:I596)</f>
        <v>51699.19</v>
      </c>
      <c r="J597" s="108">
        <f>SUM(J590:J596)</f>
        <v>128874.94</v>
      </c>
      <c r="K597" s="108">
        <f>SUM(K590:K596)</f>
        <v>419231.22000000003</v>
      </c>
      <c r="L597" s="24" t="s">
        <v>289</v>
      </c>
      <c r="M597" s="8"/>
      <c r="N597" s="271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1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1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1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7207.91+7486.8+17633.83+29722.01+335.29+35.25+85.38</f>
        <v>62506.47</v>
      </c>
      <c r="I603" s="18">
        <f>9646.64+4623.75+1778.05+26536.99+185.12+19.46+47.14+1618.87</f>
        <v>44456.020000000004</v>
      </c>
      <c r="J603" s="18">
        <f>11790.34+5651.25+33235.42+279.59+29.39+71.19+2413.92</f>
        <v>53471.099999999991</v>
      </c>
      <c r="K603" s="104">
        <f>SUM(H603:J603)</f>
        <v>160433.59</v>
      </c>
      <c r="L603" s="24" t="s">
        <v>289</v>
      </c>
      <c r="M603" s="8"/>
      <c r="N603" s="271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62506.47</v>
      </c>
      <c r="I604" s="108">
        <f>SUM(I601:I603)</f>
        <v>44456.020000000004</v>
      </c>
      <c r="J604" s="108">
        <f>SUM(J601:J603)</f>
        <v>53471.099999999991</v>
      </c>
      <c r="K604" s="108">
        <f>SUM(K601:K603)</f>
        <v>160433.59</v>
      </c>
      <c r="L604" s="24" t="s">
        <v>289</v>
      </c>
      <c r="M604" s="8"/>
      <c r="N604" s="271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1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71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1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22135.25</v>
      </c>
      <c r="G610" s="18">
        <v>3137.82</v>
      </c>
      <c r="H610" s="18"/>
      <c r="I610" s="18"/>
      <c r="J610" s="18"/>
      <c r="K610" s="18"/>
      <c r="L610" s="88">
        <f>SUM(F610:K610)</f>
        <v>25273.07</v>
      </c>
      <c r="M610" s="8"/>
      <c r="N610" s="271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1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22135.25</v>
      </c>
      <c r="G613" s="108">
        <f t="shared" si="49"/>
        <v>3137.82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25273.07</v>
      </c>
      <c r="M613" s="8"/>
      <c r="N613" s="271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501222.96</v>
      </c>
      <c r="H616" s="109">
        <f>SUM(F51)</f>
        <v>501222.95999999996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40078.17</v>
      </c>
      <c r="H617" s="109">
        <f>SUM(G51)</f>
        <v>40078.17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52607.57</v>
      </c>
      <c r="H618" s="109">
        <f>SUM(H51)</f>
        <v>52607.57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278011.3</v>
      </c>
      <c r="H620" s="109">
        <f>SUM(J51)</f>
        <v>278011.3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450433.16</v>
      </c>
      <c r="H621" s="109">
        <f>F475</f>
        <v>450433.16000000201</v>
      </c>
      <c r="I621" s="121" t="s">
        <v>101</v>
      </c>
      <c r="J621" s="109">
        <f t="shared" ref="J621:J654" si="50">G621-H621</f>
        <v>-2.0372681319713593E-9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-8025.380000000001</v>
      </c>
      <c r="H622" s="109">
        <f>G475</f>
        <v>-8025.3799999999756</v>
      </c>
      <c r="I622" s="121" t="s">
        <v>102</v>
      </c>
      <c r="J622" s="109">
        <f t="shared" si="50"/>
        <v>-2.5465851649641991E-11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1077.24</v>
      </c>
      <c r="H623" s="109">
        <f>H475</f>
        <v>1077.2399999999907</v>
      </c>
      <c r="I623" s="121" t="s">
        <v>103</v>
      </c>
      <c r="J623" s="109">
        <f t="shared" si="50"/>
        <v>9.3223206931725144E-12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278011.3</v>
      </c>
      <c r="H625" s="109">
        <f>J475</f>
        <v>278011.30000000005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10706575.33</v>
      </c>
      <c r="H626" s="104">
        <f>SUM(F467)</f>
        <v>10706575.33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186284.91999999998</v>
      </c>
      <c r="H627" s="104">
        <f>SUM(G467)</f>
        <v>186284.92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368414.9</v>
      </c>
      <c r="H628" s="104">
        <f>SUM(H467)</f>
        <v>368414.9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29501.32</v>
      </c>
      <c r="H629" s="104">
        <f>SUM(I467)</f>
        <v>29501.32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55147.33</v>
      </c>
      <c r="H630" s="104">
        <f>SUM(J467)</f>
        <v>55147.33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10702024.77</v>
      </c>
      <c r="H631" s="104">
        <f>SUM(F471)</f>
        <v>10702024.77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367337.66</v>
      </c>
      <c r="H632" s="104">
        <f>SUM(H471)</f>
        <v>367337.66000000003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86537.02</v>
      </c>
      <c r="H633" s="104">
        <f>I368</f>
        <v>86537.02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207712.4</v>
      </c>
      <c r="H634" s="104">
        <f>SUM(G471)</f>
        <v>207712.4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70894.040000000008</v>
      </c>
      <c r="H635" s="104">
        <f>SUM(I471)</f>
        <v>70894.039999999994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55147.33</v>
      </c>
      <c r="H636" s="164">
        <f>SUM(J467)</f>
        <v>55147.33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3957.1</v>
      </c>
      <c r="H637" s="164">
        <f>SUM(J471)</f>
        <v>3957.1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278011.3</v>
      </c>
      <c r="H638" s="104">
        <f>SUM(F460)</f>
        <v>278011.3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278011.3</v>
      </c>
      <c r="H641" s="104">
        <f>SUM(I460)</f>
        <v>278011.3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147.33000000000001</v>
      </c>
      <c r="H643" s="104">
        <f>H407</f>
        <v>147.33000000000001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55000</v>
      </c>
      <c r="H644" s="104">
        <f>G407</f>
        <v>55000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55147.33</v>
      </c>
      <c r="H645" s="104">
        <f>L407</f>
        <v>55147.33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419231.22000000003</v>
      </c>
      <c r="H646" s="104">
        <f>L207+L225+L243</f>
        <v>419231.22000000003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160433.59</v>
      </c>
      <c r="H647" s="104">
        <f>(J256+J337)-(J254+J335)</f>
        <v>160433.58999999997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238657.09</v>
      </c>
      <c r="H648" s="104">
        <f>H597</f>
        <v>238657.09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51699.19</v>
      </c>
      <c r="H649" s="104">
        <f>I597</f>
        <v>51699.19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128874.94</v>
      </c>
      <c r="H650" s="104">
        <f>J597</f>
        <v>128874.94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55000</v>
      </c>
      <c r="H654" s="104">
        <f>K265+K346</f>
        <v>55000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4670318.45</v>
      </c>
      <c r="G659" s="19">
        <f>(L228+L308+L358)</f>
        <v>2361660.4000000004</v>
      </c>
      <c r="H659" s="19">
        <f>(L246+L327+L359)</f>
        <v>3629065.4299999997</v>
      </c>
      <c r="I659" s="19">
        <f>SUM(F659:H659)</f>
        <v>10661044.280000001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49475.660315598878</v>
      </c>
      <c r="G660" s="19">
        <f>(L358/IF(SUM(L357:L359)=0,1,SUM(L357:L359))*(SUM(G96:G109)))</f>
        <v>25223.371210920486</v>
      </c>
      <c r="H660" s="19">
        <f>(L359/IF(SUM(L357:L359)=0,1,SUM(L357:L359))*(SUM(G96:G109)))</f>
        <v>29720.30847348064</v>
      </c>
      <c r="I660" s="19">
        <f>SUM(F660:H660)</f>
        <v>104419.34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238657.09</v>
      </c>
      <c r="G661" s="19">
        <f>(L225+L305)-(J225+J305)</f>
        <v>51699.19</v>
      </c>
      <c r="H661" s="19">
        <f>(L243+L324)-(J243+J324)</f>
        <v>128874.94</v>
      </c>
      <c r="I661" s="19">
        <f>SUM(F661:H661)</f>
        <v>419231.22000000003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9"/>
      <c r="C662" s="169"/>
      <c r="D662" s="169"/>
      <c r="E662" s="169"/>
      <c r="F662" s="198">
        <f>SUM(F574:F586)+SUM(H601:H603)+SUM(L610)</f>
        <v>87779.540000000008</v>
      </c>
      <c r="G662" s="198">
        <f>SUM(G574:G586)+SUM(I601:I603)+L611</f>
        <v>134450.6</v>
      </c>
      <c r="H662" s="198">
        <f>SUM(H574:H586)+SUM(J601:J603)+L612</f>
        <v>480062.79</v>
      </c>
      <c r="I662" s="19">
        <f>SUM(F662:H662)</f>
        <v>702292.92999999993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4294406.159684401</v>
      </c>
      <c r="G663" s="19">
        <f>G659-SUM(G660:G662)</f>
        <v>2150287.2387890797</v>
      </c>
      <c r="H663" s="19">
        <f>H659-SUM(H660:H662)</f>
        <v>2990407.3915265193</v>
      </c>
      <c r="I663" s="19">
        <f>I659-SUM(I660:I662)</f>
        <v>9435100.790000001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>
        <f>190.64+62.92</f>
        <v>253.56</v>
      </c>
      <c r="G664" s="247">
        <v>140</v>
      </c>
      <c r="H664" s="247">
        <v>211.44</v>
      </c>
      <c r="I664" s="19">
        <f>SUM(F664:H664)</f>
        <v>605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16936.45</v>
      </c>
      <c r="G666" s="19">
        <f>ROUND(G663/G664,2)</f>
        <v>15359.19</v>
      </c>
      <c r="H666" s="19">
        <f>ROUND(H663/H664,2)</f>
        <v>14143.05</v>
      </c>
      <c r="I666" s="19">
        <f>ROUND(I663/I664,2)</f>
        <v>15595.21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-3.27</v>
      </c>
      <c r="I669" s="19">
        <f>SUM(F669:H669)</f>
        <v>-3.27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16936.45</v>
      </c>
      <c r="G671" s="19">
        <f>ROUND((G663+G668)/(G664+G669),2)</f>
        <v>15359.19</v>
      </c>
      <c r="H671" s="19">
        <f>ROUND((H663+H668)/(H664+H669),2)</f>
        <v>14365.22</v>
      </c>
      <c r="I671" s="19">
        <f>ROUND((I663+I668)/(I664+I669),2)</f>
        <v>15679.96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8" sqref="B2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Wilton-Lyndeborough Cooperative S.D.</v>
      </c>
      <c r="C1" s="237" t="s">
        <v>839</v>
      </c>
    </row>
    <row r="2" spans="1:3" x14ac:dyDescent="0.2">
      <c r="A2" s="232"/>
      <c r="B2" s="231"/>
    </row>
    <row r="3" spans="1:3" x14ac:dyDescent="0.2">
      <c r="A3" s="277" t="s">
        <v>784</v>
      </c>
      <c r="B3" s="277"/>
      <c r="C3" s="277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6" t="s">
        <v>783</v>
      </c>
      <c r="C6" s="276"/>
    </row>
    <row r="7" spans="1:3" x14ac:dyDescent="0.2">
      <c r="A7" s="238" t="s">
        <v>786</v>
      </c>
      <c r="B7" s="274" t="s">
        <v>782</v>
      </c>
      <c r="C7" s="275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3027605.49</v>
      </c>
      <c r="C9" s="228">
        <f>'DOE25'!G196+'DOE25'!G214+'DOE25'!G232+'DOE25'!G275+'DOE25'!G294+'DOE25'!G313</f>
        <v>1175873.0999999999</v>
      </c>
    </row>
    <row r="10" spans="1:3" x14ac:dyDescent="0.2">
      <c r="A10" t="s">
        <v>779</v>
      </c>
      <c r="B10" s="239">
        <f>1093430.59+727885.57+1088927.69+7631.73+5075.77+3250+5356.58+0.02-180</f>
        <v>2931377.95</v>
      </c>
      <c r="C10" s="239">
        <f>491388+273456.26+394718.3+1292.14+930.22+607.33+1025.4+377.69</f>
        <v>1163795.3399999999</v>
      </c>
    </row>
    <row r="11" spans="1:3" x14ac:dyDescent="0.2">
      <c r="A11" t="s">
        <v>780</v>
      </c>
      <c r="B11" s="239">
        <f>58574.91+6294.95+10738.82+180</f>
        <v>75788.679999999993</v>
      </c>
      <c r="C11" s="239">
        <f>8335.72+1101.23+977.81</f>
        <v>10414.759999999998</v>
      </c>
    </row>
    <row r="12" spans="1:3" x14ac:dyDescent="0.2">
      <c r="A12" t="s">
        <v>781</v>
      </c>
      <c r="B12" s="239">
        <v>20438.86</v>
      </c>
      <c r="C12" s="239">
        <v>1663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3027605.49</v>
      </c>
      <c r="C13" s="230">
        <f>SUM(C10:C12)</f>
        <v>1175873.0999999999</v>
      </c>
    </row>
    <row r="14" spans="1:3" x14ac:dyDescent="0.2">
      <c r="B14" s="229"/>
      <c r="C14" s="229"/>
    </row>
    <row r="15" spans="1:3" x14ac:dyDescent="0.2">
      <c r="B15" s="276" t="s">
        <v>783</v>
      </c>
      <c r="C15" s="276"/>
    </row>
    <row r="16" spans="1:3" x14ac:dyDescent="0.2">
      <c r="A16" s="238" t="s">
        <v>787</v>
      </c>
      <c r="B16" s="274" t="s">
        <v>707</v>
      </c>
      <c r="C16" s="275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749945.46</v>
      </c>
      <c r="C18" s="228">
        <f>'DOE25'!G197+'DOE25'!G215+'DOE25'!G233+'DOE25'!G276+'DOE25'!G295+'DOE25'!G314</f>
        <v>217541.08</v>
      </c>
    </row>
    <row r="19" spans="1:3" x14ac:dyDescent="0.2">
      <c r="A19" t="s">
        <v>779</v>
      </c>
      <c r="B19" s="239">
        <f>217481.66+69980.89+107175.05+7050</f>
        <v>401687.6</v>
      </c>
      <c r="C19" s="239">
        <f>102374.91+26195.1+42460.41+1657</f>
        <v>172687.42</v>
      </c>
    </row>
    <row r="20" spans="1:3" x14ac:dyDescent="0.2">
      <c r="A20" t="s">
        <v>780</v>
      </c>
      <c r="B20" s="239">
        <f>225118.59+76187.16+31866.86+22135.25-7050</f>
        <v>348257.86</v>
      </c>
      <c r="C20" s="239">
        <f>28199.3+10450.29+5050.25+2810.82-1657</f>
        <v>44853.659999999996</v>
      </c>
    </row>
    <row r="21" spans="1:3" x14ac:dyDescent="0.2">
      <c r="A21" t="s">
        <v>781</v>
      </c>
      <c r="B21" s="239" t="s">
        <v>287</v>
      </c>
      <c r="C21" s="239" t="s">
        <v>287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749945.46</v>
      </c>
      <c r="C22" s="230">
        <f>SUM(C19:C21)</f>
        <v>217541.08000000002</v>
      </c>
    </row>
    <row r="23" spans="1:3" x14ac:dyDescent="0.2">
      <c r="B23" s="229"/>
      <c r="C23" s="229"/>
    </row>
    <row r="24" spans="1:3" x14ac:dyDescent="0.2">
      <c r="B24" s="276" t="s">
        <v>783</v>
      </c>
      <c r="C24" s="276"/>
    </row>
    <row r="25" spans="1:3" x14ac:dyDescent="0.2">
      <c r="A25" s="238" t="s">
        <v>788</v>
      </c>
      <c r="B25" s="274" t="s">
        <v>708</v>
      </c>
      <c r="C25" s="275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/>
      <c r="C28" s="239"/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8" t="s">
        <v>789</v>
      </c>
      <c r="B34" s="274" t="s">
        <v>709</v>
      </c>
      <c r="C34" s="275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71541</v>
      </c>
      <c r="C36" s="234">
        <f>'DOE25'!G199+'DOE25'!G217+'DOE25'!G235+'DOE25'!G278+'DOE25'!G297+'DOE25'!G316</f>
        <v>11038.330000000002</v>
      </c>
    </row>
    <row r="37" spans="1:3" x14ac:dyDescent="0.2">
      <c r="A37" t="s">
        <v>779</v>
      </c>
      <c r="B37" s="239">
        <f>1909.6+16758.4-1350-272-272+12587.2-1271-1271-853-707.2-895+38328.8-27286.8</f>
        <v>35406</v>
      </c>
      <c r="C37" s="239">
        <v>8274</v>
      </c>
    </row>
    <row r="38" spans="1:3" x14ac:dyDescent="0.2">
      <c r="A38" t="s">
        <v>780</v>
      </c>
      <c r="B38" s="239"/>
      <c r="C38" s="239"/>
    </row>
    <row r="39" spans="1:3" x14ac:dyDescent="0.2">
      <c r="A39" t="s">
        <v>781</v>
      </c>
      <c r="B39" s="239">
        <f>1350+272+272+1271+1271+853+707.2+895+27286.8+1957</f>
        <v>36135</v>
      </c>
      <c r="C39" s="239">
        <v>2764.33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71541</v>
      </c>
      <c r="C40" s="230">
        <f>SUM(C37:C39)</f>
        <v>11038.33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FY2012-2013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659" sqref="F659"/>
      <selection pane="bottomLeft" activeCell="F659" sqref="F65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0"/>
    </row>
    <row r="2" spans="1:9" x14ac:dyDescent="0.2">
      <c r="A2" s="33" t="s">
        <v>717</v>
      </c>
      <c r="B2" s="264" t="str">
        <f>'DOE25'!A2</f>
        <v>Wilton-Lyndeborough Cooperative S.D.</v>
      </c>
      <c r="C2" s="180"/>
      <c r="D2" s="180" t="s">
        <v>792</v>
      </c>
      <c r="E2" s="180" t="s">
        <v>794</v>
      </c>
      <c r="F2" s="278" t="s">
        <v>821</v>
      </c>
      <c r="G2" s="279"/>
      <c r="H2" s="280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6062024.0499999998</v>
      </c>
      <c r="D5" s="20">
        <f>SUM('DOE25'!L196:L199)+SUM('DOE25'!L214:L217)+SUM('DOE25'!L232:L235)-F5-G5</f>
        <v>5972819.7699999996</v>
      </c>
      <c r="E5" s="242"/>
      <c r="F5" s="254">
        <f>SUM('DOE25'!J196:J199)+SUM('DOE25'!J214:J217)+SUM('DOE25'!J232:J235)</f>
        <v>64283.25</v>
      </c>
      <c r="G5" s="53">
        <f>SUM('DOE25'!K196:K199)+SUM('DOE25'!K214:K217)+SUM('DOE25'!K232:K235)</f>
        <v>24921.03</v>
      </c>
      <c r="H5" s="258"/>
    </row>
    <row r="6" spans="1:9" x14ac:dyDescent="0.2">
      <c r="A6" s="32">
        <v>2100</v>
      </c>
      <c r="B6" t="s">
        <v>801</v>
      </c>
      <c r="C6" s="244">
        <f t="shared" si="0"/>
        <v>1045384.16</v>
      </c>
      <c r="D6" s="20">
        <f>'DOE25'!L201+'DOE25'!L219+'DOE25'!L237-F6-G6</f>
        <v>1041806.8</v>
      </c>
      <c r="E6" s="242"/>
      <c r="F6" s="254">
        <f>'DOE25'!J201+'DOE25'!J219+'DOE25'!J237</f>
        <v>2692.36</v>
      </c>
      <c r="G6" s="53">
        <f>'DOE25'!K201+'DOE25'!K219+'DOE25'!K237</f>
        <v>885</v>
      </c>
      <c r="H6" s="258"/>
    </row>
    <row r="7" spans="1:9" x14ac:dyDescent="0.2">
      <c r="A7" s="32">
        <v>2200</v>
      </c>
      <c r="B7" t="s">
        <v>834</v>
      </c>
      <c r="C7" s="244">
        <f t="shared" si="0"/>
        <v>179280.22999999998</v>
      </c>
      <c r="D7" s="20">
        <f>'DOE25'!L202+'DOE25'!L220+'DOE25'!L238-F7-G7</f>
        <v>179005.75999999998</v>
      </c>
      <c r="E7" s="242"/>
      <c r="F7" s="254">
        <f>'DOE25'!J202+'DOE25'!J220+'DOE25'!J238</f>
        <v>239.47</v>
      </c>
      <c r="G7" s="53">
        <f>'DOE25'!K202+'DOE25'!K220+'DOE25'!K238</f>
        <v>35</v>
      </c>
      <c r="H7" s="258"/>
    </row>
    <row r="8" spans="1:9" x14ac:dyDescent="0.2">
      <c r="A8" s="32">
        <v>2300</v>
      </c>
      <c r="B8" t="s">
        <v>802</v>
      </c>
      <c r="C8" s="244">
        <f t="shared" si="0"/>
        <v>404736.02</v>
      </c>
      <c r="D8" s="242"/>
      <c r="E8" s="20">
        <f>'DOE25'!L203+'DOE25'!L221+'DOE25'!L239-F8-G8-D9-D11</f>
        <v>398194.64</v>
      </c>
      <c r="F8" s="254">
        <f>'DOE25'!J203+'DOE25'!J221+'DOE25'!J239</f>
        <v>84.1</v>
      </c>
      <c r="G8" s="53">
        <f>'DOE25'!K203+'DOE25'!K221+'DOE25'!K239</f>
        <v>6457.2799999999988</v>
      </c>
      <c r="H8" s="258"/>
    </row>
    <row r="9" spans="1:9" x14ac:dyDescent="0.2">
      <c r="A9" s="32">
        <v>2310</v>
      </c>
      <c r="B9" t="s">
        <v>818</v>
      </c>
      <c r="C9" s="244">
        <f t="shared" si="0"/>
        <v>0</v>
      </c>
      <c r="D9" s="243"/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0</v>
      </c>
      <c r="D10" s="242"/>
      <c r="E10" s="243"/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0</v>
      </c>
      <c r="D11" s="243"/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682051.43</v>
      </c>
      <c r="D12" s="20">
        <f>'DOE25'!L204+'DOE25'!L222+'DOE25'!L240-F12-G12</f>
        <v>668141.78000000014</v>
      </c>
      <c r="E12" s="242"/>
      <c r="F12" s="254">
        <f>'DOE25'!J204+'DOE25'!J222+'DOE25'!J240</f>
        <v>1547.71</v>
      </c>
      <c r="G12" s="53">
        <f>'DOE25'!K204+'DOE25'!K222+'DOE25'!K240</f>
        <v>12361.939999999999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257343.34000000003</v>
      </c>
      <c r="D13" s="242"/>
      <c r="E13" s="20">
        <f>'DOE25'!L205+'DOE25'!L223+'DOE25'!L241-F13-G13</f>
        <v>235290.63000000003</v>
      </c>
      <c r="F13" s="254">
        <f>'DOE25'!J205+'DOE25'!J223+'DOE25'!J241</f>
        <v>203.70999999999998</v>
      </c>
      <c r="G13" s="53">
        <f>'DOE25'!K205+'DOE25'!K223+'DOE25'!K241</f>
        <v>21849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884848.71000000008</v>
      </c>
      <c r="D14" s="20">
        <f>'DOE25'!L206+'DOE25'!L224+'DOE25'!L242-F14-G14</f>
        <v>860974.31</v>
      </c>
      <c r="E14" s="242"/>
      <c r="F14" s="254">
        <f>'DOE25'!J206+'DOE25'!J224+'DOE25'!J242</f>
        <v>23874.400000000001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419231.22000000003</v>
      </c>
      <c r="D15" s="20">
        <f>'DOE25'!L207+'DOE25'!L225+'DOE25'!L243-F15-G15</f>
        <v>419231.22000000003</v>
      </c>
      <c r="E15" s="242"/>
      <c r="F15" s="254">
        <f>'DOE25'!J207+'DOE25'!J225+'DOE25'!J243</f>
        <v>0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151095.06</v>
      </c>
      <c r="D16" s="242"/>
      <c r="E16" s="20">
        <f>'DOE25'!L208+'DOE25'!L226+'DOE25'!L244-F16-G16</f>
        <v>149405.04</v>
      </c>
      <c r="F16" s="254">
        <f>'DOE25'!J208+'DOE25'!J226+'DOE25'!J244</f>
        <v>1690.02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109111.8</v>
      </c>
      <c r="D22" s="242"/>
      <c r="E22" s="242"/>
      <c r="F22" s="254">
        <f>'DOE25'!L254+'DOE25'!L335</f>
        <v>109111.8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451918.75</v>
      </c>
      <c r="D25" s="242"/>
      <c r="E25" s="242"/>
      <c r="F25" s="257"/>
      <c r="G25" s="255"/>
      <c r="H25" s="256">
        <f>'DOE25'!L259+'DOE25'!L260+'DOE25'!L340+'DOE25'!L341</f>
        <v>451918.75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128896.63999999998</v>
      </c>
      <c r="D29" s="20">
        <f>'DOE25'!L357+'DOE25'!L358+'DOE25'!L359-'DOE25'!I366-F29-G29</f>
        <v>126157.94999999998</v>
      </c>
      <c r="E29" s="242"/>
      <c r="F29" s="254">
        <f>'DOE25'!J357+'DOE25'!J358+'DOE25'!J359</f>
        <v>1941.5</v>
      </c>
      <c r="G29" s="53">
        <f>'DOE25'!K357+'DOE25'!K358+'DOE25'!K359</f>
        <v>797.18999999999994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367337.66</v>
      </c>
      <c r="D31" s="20">
        <f>'DOE25'!L289+'DOE25'!L308+'DOE25'!L327+'DOE25'!L332+'DOE25'!L333+'DOE25'!L334-F31-G31</f>
        <v>301519.08999999997</v>
      </c>
      <c r="E31" s="242"/>
      <c r="F31" s="254">
        <f>'DOE25'!J289+'DOE25'!J308+'DOE25'!J327+'DOE25'!J332+'DOE25'!J333+'DOE25'!J334</f>
        <v>65818.569999999992</v>
      </c>
      <c r="G31" s="53">
        <f>'DOE25'!K289+'DOE25'!K308+'DOE25'!K327+'DOE25'!K332+'DOE25'!K333+'DOE25'!K334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9569656.6799999997</v>
      </c>
      <c r="E33" s="245">
        <f>SUM(E5:E31)</f>
        <v>782890.31</v>
      </c>
      <c r="F33" s="245">
        <f>SUM(F5:F31)</f>
        <v>271486.89</v>
      </c>
      <c r="G33" s="245">
        <f>SUM(G5:G31)</f>
        <v>67306.44</v>
      </c>
      <c r="H33" s="245">
        <f>SUM(H5:H31)</f>
        <v>451918.75</v>
      </c>
    </row>
    <row r="35" spans="2:8" ht="12" thickBot="1" x14ac:dyDescent="0.25">
      <c r="B35" s="252" t="s">
        <v>847</v>
      </c>
      <c r="D35" s="253">
        <f>E33</f>
        <v>782890.31</v>
      </c>
      <c r="E35" s="248"/>
    </row>
    <row r="36" spans="2:8" ht="12" thickTop="1" x14ac:dyDescent="0.2">
      <c r="B36" t="s">
        <v>815</v>
      </c>
      <c r="D36" s="20">
        <f>D33</f>
        <v>9569656.6799999997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N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1" activePane="bottomLeft" state="frozen"/>
      <selection activeCell="F659" sqref="F659"/>
      <selection pane="bottomLeft" activeCell="F659" sqref="F65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Wilton-Lyndeborough Cooperative S.D.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402030.08000000002</v>
      </c>
      <c r="D8" s="95">
        <f>'DOE25'!G9</f>
        <v>1927.52</v>
      </c>
      <c r="E8" s="95">
        <f>'DOE25'!H9</f>
        <v>0</v>
      </c>
      <c r="F8" s="95">
        <f>'DOE25'!I9</f>
        <v>0</v>
      </c>
      <c r="G8" s="95">
        <f>'DOE25'!J9</f>
        <v>278011.3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99192.88</v>
      </c>
      <c r="D11" s="95">
        <f>'DOE25'!G12</f>
        <v>27261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 t="str">
        <f>'DOE25'!F13</f>
        <v xml:space="preserve"> </v>
      </c>
      <c r="D12" s="95">
        <f>'DOE25'!G13</f>
        <v>10553.599999999999</v>
      </c>
      <c r="E12" s="95">
        <f>'DOE25'!H13</f>
        <v>52607.57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336.05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501222.96</v>
      </c>
      <c r="D18" s="41">
        <f>SUM(D8:D17)</f>
        <v>40078.17</v>
      </c>
      <c r="E18" s="41">
        <f>SUM(E8:E17)</f>
        <v>52607.57</v>
      </c>
      <c r="F18" s="41">
        <f>SUM(F8:F17)</f>
        <v>0</v>
      </c>
      <c r="G18" s="41">
        <f>SUM(G8:G17)</f>
        <v>278011.3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27261</v>
      </c>
      <c r="D21" s="95">
        <f>'DOE25'!G22</f>
        <v>47662.55</v>
      </c>
      <c r="E21" s="95">
        <f>'DOE25'!H22</f>
        <v>51530.33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 t="str">
        <f>'DOE25'!F23</f>
        <v xml:space="preserve"> 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15322.36</v>
      </c>
      <c r="D23" s="95">
        <f>'DOE25'!G24</f>
        <v>441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 t="str">
        <f>'DOE25'!F25</f>
        <v xml:space="preserve"> 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8206.44</v>
      </c>
      <c r="D27" s="95" t="str">
        <f>'DOE25'!G28</f>
        <v xml:space="preserve"> 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 t="str">
        <f>'DOE25'!F29</f>
        <v xml:space="preserve"> 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 t="str">
        <f>'DOE25'!G30</f>
        <v xml:space="preserve"> 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50789.8</v>
      </c>
      <c r="D31" s="41">
        <f>SUM(D21:D30)</f>
        <v>48103.55</v>
      </c>
      <c r="E31" s="41">
        <f>SUM(E21:E30)</f>
        <v>51530.33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2026.11</v>
      </c>
      <c r="D38" s="95">
        <f>'DOE25'!G39</f>
        <v>2399.65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-10425.030000000001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278011.3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 t="str">
        <f>'DOE25'!F47</f>
        <v xml:space="preserve"> </v>
      </c>
      <c r="D46" s="95" t="str">
        <f>'DOE25'!G47</f>
        <v xml:space="preserve"> </v>
      </c>
      <c r="E46" s="95">
        <f>'DOE25'!H47</f>
        <v>1077.24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106158.75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102248.3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450433.16</v>
      </c>
      <c r="D49" s="41">
        <f>SUM(D34:D48)</f>
        <v>-8025.380000000001</v>
      </c>
      <c r="E49" s="41">
        <f>SUM(E34:E48)</f>
        <v>1077.24</v>
      </c>
      <c r="F49" s="41">
        <f>SUM(F34:F48)</f>
        <v>0</v>
      </c>
      <c r="G49" s="41">
        <f>SUM(G34:G48)</f>
        <v>278011.3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501222.95999999996</v>
      </c>
      <c r="D50" s="41">
        <f>D49+D31</f>
        <v>40078.17</v>
      </c>
      <c r="E50" s="41">
        <f>E49+E31</f>
        <v>52607.57</v>
      </c>
      <c r="F50" s="41">
        <f>F49+F31</f>
        <v>0</v>
      </c>
      <c r="G50" s="41">
        <f>G49+G31</f>
        <v>278011.3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7291839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4675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3350.08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147.33000000000001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98397.34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1133.51</v>
      </c>
      <c r="D60" s="95">
        <f>SUM('DOE25'!G97:G109)</f>
        <v>6022</v>
      </c>
      <c r="E60" s="95">
        <f>SUM('DOE25'!H97:H109)</f>
        <v>2000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9158.59</v>
      </c>
      <c r="D61" s="130">
        <f>SUM(D56:D60)</f>
        <v>104419.34</v>
      </c>
      <c r="E61" s="130">
        <f>SUM(E56:E60)</f>
        <v>2000</v>
      </c>
      <c r="F61" s="130">
        <f>SUM(F56:F60)</f>
        <v>0</v>
      </c>
      <c r="G61" s="130">
        <f>SUM(G56:G60)</f>
        <v>147.33000000000001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7300997.5899999999</v>
      </c>
      <c r="D62" s="22">
        <f>D55+D61</f>
        <v>104419.34</v>
      </c>
      <c r="E62" s="22">
        <f>E55+E61</f>
        <v>2000</v>
      </c>
      <c r="F62" s="22">
        <f>F55+F61</f>
        <v>0</v>
      </c>
      <c r="G62" s="22">
        <f>G55+G61</f>
        <v>147.33000000000001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1699440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1282272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2981712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130000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 t="str">
        <f>'DOE25'!F123</f>
        <v xml:space="preserve"> </v>
      </c>
      <c r="D72" s="24" t="s">
        <v>289</v>
      </c>
      <c r="E72" s="24" t="s">
        <v>289</v>
      </c>
      <c r="F72" s="95">
        <f>'DOE25'!I123</f>
        <v>29501.32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13800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140909.76999999999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932.04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2780.35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285641.81</v>
      </c>
      <c r="D77" s="130">
        <f>SUM(D71:D76)</f>
        <v>2780.35</v>
      </c>
      <c r="E77" s="130">
        <f>SUM(E71:E76)</f>
        <v>0</v>
      </c>
      <c r="F77" s="130">
        <f>SUM(F71:F76)</f>
        <v>29501.32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3267353.81</v>
      </c>
      <c r="D80" s="130">
        <f>SUM(D78:D79)+D77+D69</f>
        <v>2780.35</v>
      </c>
      <c r="E80" s="130">
        <f>SUM(E78:E79)+E77+E69</f>
        <v>0</v>
      </c>
      <c r="F80" s="130">
        <f>SUM(F78:F79)+F77+F69</f>
        <v>29501.32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17763.7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134266.82999999999</v>
      </c>
      <c r="D87" s="95">
        <f>SUM('DOE25'!G152:G160)</f>
        <v>79085.23</v>
      </c>
      <c r="E87" s="95">
        <f>SUM('DOE25'!H152:H160)</f>
        <v>348651.2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134266.82999999999</v>
      </c>
      <c r="D90" s="131">
        <f>SUM(D84:D89)</f>
        <v>79085.23</v>
      </c>
      <c r="E90" s="131">
        <f>SUM(E84:E89)</f>
        <v>366414.9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3957.1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3957.1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55000</v>
      </c>
    </row>
    <row r="103" spans="1:7" ht="12.75" thickTop="1" thickBot="1" x14ac:dyDescent="0.25">
      <c r="A103" s="33" t="s">
        <v>765</v>
      </c>
      <c r="C103" s="86">
        <f>C62+C80+C90+C102</f>
        <v>10706575.33</v>
      </c>
      <c r="D103" s="86">
        <f>D62+D80+D90+D102</f>
        <v>186284.91999999998</v>
      </c>
      <c r="E103" s="86">
        <f>E62+E80+E90+E102</f>
        <v>368414.9</v>
      </c>
      <c r="F103" s="86">
        <f>F62+F80+F90+F102</f>
        <v>29501.32</v>
      </c>
      <c r="G103" s="86">
        <f>G62+G80+G102</f>
        <v>55147.33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4392129.9000000004</v>
      </c>
      <c r="D108" s="24" t="s">
        <v>289</v>
      </c>
      <c r="E108" s="95">
        <f>('DOE25'!L275)+('DOE25'!L294)+('DOE25'!L313)</f>
        <v>97157.299999999988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1513305.0299999998</v>
      </c>
      <c r="D109" s="24" t="s">
        <v>289</v>
      </c>
      <c r="E109" s="95">
        <f>('DOE25'!L276)+('DOE25'!L295)+('DOE25'!L314)</f>
        <v>18367.66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18589.650000000001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137999.47</v>
      </c>
      <c r="D111" s="24" t="s">
        <v>289</v>
      </c>
      <c r="E111" s="95">
        <f>+('DOE25'!L278)+('DOE25'!L297)+('DOE25'!L316)</f>
        <v>3576.6099999999997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6062024.0499999998</v>
      </c>
      <c r="D114" s="86">
        <f>SUM(D108:D113)</f>
        <v>0</v>
      </c>
      <c r="E114" s="86">
        <f>SUM(E108:E113)</f>
        <v>119101.56999999999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1045384.16</v>
      </c>
      <c r="D117" s="24" t="s">
        <v>289</v>
      </c>
      <c r="E117" s="95">
        <f>+('DOE25'!L280)+('DOE25'!L299)+('DOE25'!L318)</f>
        <v>116210.76999999999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179280.22999999998</v>
      </c>
      <c r="D118" s="24" t="s">
        <v>289</v>
      </c>
      <c r="E118" s="95">
        <f>+('DOE25'!L281)+('DOE25'!L300)+('DOE25'!L319)</f>
        <v>131597.65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404736.02</v>
      </c>
      <c r="D119" s="24" t="s">
        <v>289</v>
      </c>
      <c r="E119" s="95">
        <f>+('DOE25'!L282)+('DOE25'!L301)+('DOE25'!L320)</f>
        <v>427.67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682051.43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257343.34000000003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884848.71000000008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419231.22000000003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151095.06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207712.4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4023970.1700000004</v>
      </c>
      <c r="D127" s="86">
        <f>SUM(D117:D126)</f>
        <v>207712.4</v>
      </c>
      <c r="E127" s="86">
        <f>SUM(E117:E126)</f>
        <v>248236.09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109111.8</v>
      </c>
      <c r="D129" s="24" t="s">
        <v>289</v>
      </c>
      <c r="E129" s="129">
        <f>'DOE25'!L335</f>
        <v>0</v>
      </c>
      <c r="F129" s="129">
        <f>SUM('DOE25'!L373:'DOE25'!L379)</f>
        <v>70894.040000000008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325000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126918.75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55147.33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-147.33000000000175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616030.55000000005</v>
      </c>
      <c r="D143" s="141">
        <f>SUM(D129:D142)</f>
        <v>0</v>
      </c>
      <c r="E143" s="141">
        <f>SUM(E129:E142)</f>
        <v>0</v>
      </c>
      <c r="F143" s="141">
        <f>SUM(F129:F142)</f>
        <v>70894.040000000008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10702024.770000001</v>
      </c>
      <c r="D144" s="86">
        <f>(D114+D127+D143)</f>
        <v>207712.4</v>
      </c>
      <c r="E144" s="86">
        <f>(E114+E127+E143)</f>
        <v>367337.66</v>
      </c>
      <c r="F144" s="86">
        <f>(F114+F127+F143)</f>
        <v>70894.040000000008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07/99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6476775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2580000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2580000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325000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325000</v>
      </c>
    </row>
    <row r="158" spans="1:9" x14ac:dyDescent="0.2">
      <c r="A158" s="22" t="s">
        <v>35</v>
      </c>
      <c r="B158" s="137">
        <f>'DOE25'!F497</f>
        <v>2255000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2255000</v>
      </c>
    </row>
    <row r="159" spans="1:9" x14ac:dyDescent="0.2">
      <c r="A159" s="22" t="s">
        <v>36</v>
      </c>
      <c r="B159" s="137">
        <f>'DOE25'!F498</f>
        <v>412781.25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412781.25</v>
      </c>
    </row>
    <row r="160" spans="1:9" x14ac:dyDescent="0.2">
      <c r="A160" s="22" t="s">
        <v>37</v>
      </c>
      <c r="B160" s="137">
        <f>'DOE25'!F499</f>
        <v>2667781.25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2667781.25</v>
      </c>
    </row>
    <row r="161" spans="1:7" x14ac:dyDescent="0.2">
      <c r="A161" s="22" t="s">
        <v>38</v>
      </c>
      <c r="B161" s="137">
        <f>'DOE25'!F500</f>
        <v>325000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325000</v>
      </c>
    </row>
    <row r="162" spans="1:7" x14ac:dyDescent="0.2">
      <c r="A162" s="22" t="s">
        <v>39</v>
      </c>
      <c r="B162" s="137">
        <f>'DOE25'!F501</f>
        <v>109856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109856</v>
      </c>
    </row>
    <row r="163" spans="1:7" x14ac:dyDescent="0.2">
      <c r="A163" s="22" t="s">
        <v>246</v>
      </c>
      <c r="B163" s="137">
        <f>'DOE25'!F502</f>
        <v>434856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434856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F659" sqref="F65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6" t="s">
        <v>717</v>
      </c>
      <c r="B2" s="185" t="str">
        <f>'DOE25'!A2</f>
        <v>Wilton-Lyndeborough Cooperative S.D.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16936</v>
      </c>
    </row>
    <row r="5" spans="1:4" x14ac:dyDescent="0.2">
      <c r="B5" t="s">
        <v>704</v>
      </c>
      <c r="C5" s="178">
        <f>IF('DOE25'!G664+'DOE25'!G669=0,0,ROUND('DOE25'!G671,0))</f>
        <v>15359</v>
      </c>
    </row>
    <row r="6" spans="1:4" x14ac:dyDescent="0.2">
      <c r="B6" t="s">
        <v>62</v>
      </c>
      <c r="C6" s="178">
        <f>IF('DOE25'!H664+'DOE25'!H669=0,0,ROUND('DOE25'!H671,0))</f>
        <v>14365</v>
      </c>
    </row>
    <row r="7" spans="1:4" x14ac:dyDescent="0.2">
      <c r="B7" t="s">
        <v>705</v>
      </c>
      <c r="C7" s="178">
        <f>IF('DOE25'!I664+'DOE25'!I669=0,0,ROUND('DOE25'!I671,0))</f>
        <v>15680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4489287</v>
      </c>
      <c r="D10" s="181">
        <f>ROUND((C10/$C$28)*100,1)</f>
        <v>42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1531673</v>
      </c>
      <c r="D11" s="181">
        <f>ROUND((C11/$C$28)*100,1)</f>
        <v>14.3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18590</v>
      </c>
      <c r="D12" s="181">
        <f>ROUND((C12/$C$28)*100,1)</f>
        <v>0.2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141576</v>
      </c>
      <c r="D13" s="181">
        <f>ROUND((C13/$C$28)*100,1)</f>
        <v>1.3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1161595</v>
      </c>
      <c r="D15" s="181">
        <f t="shared" ref="D15:D27" si="0">ROUND((C15/$C$28)*100,1)</f>
        <v>10.9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310878</v>
      </c>
      <c r="D16" s="181">
        <f t="shared" si="0"/>
        <v>2.9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556259</v>
      </c>
      <c r="D17" s="181">
        <f t="shared" si="0"/>
        <v>5.2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682051</v>
      </c>
      <c r="D18" s="181">
        <f t="shared" si="0"/>
        <v>6.4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257343</v>
      </c>
      <c r="D19" s="181">
        <f t="shared" si="0"/>
        <v>2.4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884849</v>
      </c>
      <c r="D20" s="181">
        <f t="shared" si="0"/>
        <v>8.3000000000000007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419231</v>
      </c>
      <c r="D21" s="181">
        <f t="shared" si="0"/>
        <v>3.9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126919</v>
      </c>
      <c r="D25" s="181">
        <f t="shared" si="0"/>
        <v>1.2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103292.66</v>
      </c>
      <c r="D27" s="181">
        <f t="shared" si="0"/>
        <v>1</v>
      </c>
    </row>
    <row r="28" spans="1:4" x14ac:dyDescent="0.2">
      <c r="B28" s="186" t="s">
        <v>723</v>
      </c>
      <c r="C28" s="179">
        <f>SUM(C10:C27)</f>
        <v>10683543.66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180006</v>
      </c>
    </row>
    <row r="30" spans="1:4" x14ac:dyDescent="0.2">
      <c r="B30" s="186" t="s">
        <v>729</v>
      </c>
      <c r="C30" s="179">
        <f>SUM(C28:C29)</f>
        <v>10863549.66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325000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7291839</v>
      </c>
      <c r="D35" s="181">
        <f t="shared" ref="D35:D40" si="1">ROUND((C35/$C$41)*100,1)</f>
        <v>65.2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11305.919999999925</v>
      </c>
      <c r="D36" s="181">
        <f t="shared" si="1"/>
        <v>0.1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2981712</v>
      </c>
      <c r="D37" s="181">
        <f t="shared" si="1"/>
        <v>26.7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317923</v>
      </c>
      <c r="D38" s="181">
        <f t="shared" si="1"/>
        <v>2.8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579767</v>
      </c>
      <c r="D39" s="181">
        <f t="shared" si="1"/>
        <v>5.2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11182546.92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659" sqref="F659"/>
      <selection pane="bottomLeft" activeCell="F659" sqref="F65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2"/>
      <c r="K1" s="212"/>
      <c r="L1" s="212"/>
      <c r="M1" s="213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Wilton-Lyndeborough Cooperative S.D.</v>
      </c>
      <c r="G2" s="292"/>
      <c r="H2" s="292"/>
      <c r="I2" s="292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7"/>
      <c r="B4" s="218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0"/>
      <c r="O29" s="210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6"/>
      <c r="AB29" s="206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6"/>
      <c r="AO29" s="206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6"/>
      <c r="BB29" s="206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6"/>
      <c r="BO29" s="206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6"/>
      <c r="CB29" s="206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6"/>
      <c r="CO29" s="206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6"/>
      <c r="DB29" s="206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6"/>
      <c r="DO29" s="206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6"/>
      <c r="EB29" s="206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6"/>
      <c r="EO29" s="206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6"/>
      <c r="FB29" s="206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6"/>
      <c r="FO29" s="206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6"/>
      <c r="GB29" s="206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6"/>
      <c r="GO29" s="206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6"/>
      <c r="HB29" s="206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6"/>
      <c r="HO29" s="206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6"/>
      <c r="IB29" s="206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6"/>
      <c r="IO29" s="206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7"/>
      <c r="B30" s="218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0"/>
      <c r="O30" s="210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6"/>
      <c r="AB30" s="206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6"/>
      <c r="AO30" s="206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6"/>
      <c r="BB30" s="206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6"/>
      <c r="BO30" s="206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6"/>
      <c r="CB30" s="206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6"/>
      <c r="CO30" s="206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6"/>
      <c r="DB30" s="206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6"/>
      <c r="DO30" s="206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6"/>
      <c r="EB30" s="206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6"/>
      <c r="EO30" s="206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6"/>
      <c r="FB30" s="206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6"/>
      <c r="FO30" s="206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6"/>
      <c r="GB30" s="206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6"/>
      <c r="GO30" s="206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6"/>
      <c r="HB30" s="206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6"/>
      <c r="HO30" s="206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6"/>
      <c r="IB30" s="206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6"/>
      <c r="IO30" s="206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7"/>
      <c r="B31" s="218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0"/>
      <c r="O31" s="210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6"/>
      <c r="AB31" s="206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6"/>
      <c r="AO31" s="206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6"/>
      <c r="BB31" s="206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6"/>
      <c r="BO31" s="206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6"/>
      <c r="CB31" s="206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6"/>
      <c r="CO31" s="206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6"/>
      <c r="DB31" s="206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6"/>
      <c r="DO31" s="206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6"/>
      <c r="EB31" s="206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6"/>
      <c r="EO31" s="206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6"/>
      <c r="FB31" s="206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6"/>
      <c r="FO31" s="206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6"/>
      <c r="GB31" s="206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6"/>
      <c r="GO31" s="206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6"/>
      <c r="HB31" s="206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6"/>
      <c r="HO31" s="206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6"/>
      <c r="IB31" s="206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6"/>
      <c r="IO31" s="206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7"/>
      <c r="B32" s="218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2"/>
      <c r="O32" s="222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7"/>
      <c r="AB32" s="218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7"/>
      <c r="AO32" s="218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7"/>
      <c r="BB32" s="218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7"/>
      <c r="BO32" s="218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7"/>
      <c r="CB32" s="218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7"/>
      <c r="CO32" s="218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7"/>
      <c r="DB32" s="218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7"/>
      <c r="DO32" s="218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7"/>
      <c r="EB32" s="218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7"/>
      <c r="EO32" s="218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7"/>
      <c r="FB32" s="218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7"/>
      <c r="FO32" s="218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7"/>
      <c r="GB32" s="218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7"/>
      <c r="GO32" s="218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7"/>
      <c r="HB32" s="218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7"/>
      <c r="HO32" s="218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7"/>
      <c r="IB32" s="218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7"/>
      <c r="IO32" s="218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7"/>
      <c r="B33" s="218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0"/>
      <c r="O38" s="210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6"/>
      <c r="AB38" s="206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6"/>
      <c r="AO38" s="206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6"/>
      <c r="BB38" s="206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6"/>
      <c r="BO38" s="206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6"/>
      <c r="CB38" s="206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6"/>
      <c r="CO38" s="206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6"/>
      <c r="DB38" s="206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6"/>
      <c r="DO38" s="206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6"/>
      <c r="EB38" s="206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6"/>
      <c r="EO38" s="206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6"/>
      <c r="FB38" s="206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6"/>
      <c r="FO38" s="206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6"/>
      <c r="GB38" s="206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6"/>
      <c r="GO38" s="206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6"/>
      <c r="HB38" s="206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6"/>
      <c r="HO38" s="206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6"/>
      <c r="IB38" s="206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6"/>
      <c r="IO38" s="206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7"/>
      <c r="B39" s="218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0"/>
      <c r="O39" s="210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6"/>
      <c r="AB39" s="206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6"/>
      <c r="AO39" s="206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6"/>
      <c r="BB39" s="206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6"/>
      <c r="BO39" s="206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6"/>
      <c r="CB39" s="206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6"/>
      <c r="CO39" s="206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6"/>
      <c r="DB39" s="206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6"/>
      <c r="DO39" s="206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6"/>
      <c r="EB39" s="206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6"/>
      <c r="EO39" s="206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6"/>
      <c r="FB39" s="206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6"/>
      <c r="FO39" s="206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6"/>
      <c r="GB39" s="206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6"/>
      <c r="GO39" s="206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6"/>
      <c r="HB39" s="206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6"/>
      <c r="HO39" s="206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6"/>
      <c r="IB39" s="206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6"/>
      <c r="IO39" s="206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7"/>
      <c r="B40" s="218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0"/>
      <c r="O40" s="210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6"/>
      <c r="AB40" s="206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6"/>
      <c r="AO40" s="206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6"/>
      <c r="BB40" s="206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6"/>
      <c r="BO40" s="206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6"/>
      <c r="CB40" s="206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6"/>
      <c r="CO40" s="206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6"/>
      <c r="DB40" s="206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6"/>
      <c r="DO40" s="206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6"/>
      <c r="EB40" s="206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6"/>
      <c r="EO40" s="206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6"/>
      <c r="FB40" s="206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6"/>
      <c r="FO40" s="206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6"/>
      <c r="GB40" s="206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6"/>
      <c r="GO40" s="206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6"/>
      <c r="HB40" s="206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6"/>
      <c r="HO40" s="206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6"/>
      <c r="IB40" s="206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6"/>
      <c r="IO40" s="206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7"/>
      <c r="B41" s="218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7"/>
      <c r="B60" s="218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7"/>
      <c r="B61" s="218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7"/>
      <c r="B62" s="218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7"/>
      <c r="B63" s="218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7"/>
      <c r="B64" s="218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7"/>
      <c r="B65" s="218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7"/>
      <c r="B66" s="218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7"/>
      <c r="B67" s="218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7"/>
      <c r="B68" s="218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7"/>
      <c r="B69" s="218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19"/>
      <c r="B70" s="220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0"/>
      <c r="B74" s="210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0"/>
      <c r="B75" s="210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0"/>
      <c r="B76" s="210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0"/>
      <c r="B77" s="210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0"/>
      <c r="B78" s="210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0"/>
      <c r="B79" s="210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0"/>
      <c r="B80" s="210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0"/>
      <c r="B81" s="210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0"/>
      <c r="B82" s="210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0"/>
      <c r="B83" s="210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0"/>
      <c r="B84" s="210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0"/>
      <c r="B85" s="210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0"/>
      <c r="B86" s="210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0"/>
      <c r="B87" s="210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0"/>
      <c r="B88" s="210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0"/>
      <c r="B89" s="210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0"/>
      <c r="B90" s="210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2013-09-17T14:14:02Z</cp:lastPrinted>
  <dcterms:created xsi:type="dcterms:W3CDTF">1997-12-04T19:04:30Z</dcterms:created>
  <dcterms:modified xsi:type="dcterms:W3CDTF">2013-12-05T19:01:15Z</dcterms:modified>
</cp:coreProperties>
</file>