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9" i="12" l="1"/>
  <c r="B39" i="12"/>
  <c r="C21" i="12"/>
  <c r="B21" i="12"/>
  <c r="C12" i="12"/>
  <c r="B12" i="12"/>
  <c r="C10" i="12"/>
  <c r="B10" i="12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C18" i="10" s="1"/>
  <c r="L240" i="1"/>
  <c r="F14" i="13"/>
  <c r="G14" i="13"/>
  <c r="L206" i="1"/>
  <c r="L224" i="1"/>
  <c r="C20" i="10" s="1"/>
  <c r="L242" i="1"/>
  <c r="F15" i="13"/>
  <c r="G15" i="13"/>
  <c r="L207" i="1"/>
  <c r="L225" i="1"/>
  <c r="L243" i="1"/>
  <c r="L246" i="1"/>
  <c r="H659" i="1" s="1"/>
  <c r="H663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L361" i="1" s="1"/>
  <c r="I366" i="1"/>
  <c r="J289" i="1"/>
  <c r="J308" i="1"/>
  <c r="J327" i="1"/>
  <c r="K289" i="1"/>
  <c r="K308" i="1"/>
  <c r="K327" i="1"/>
  <c r="L275" i="1"/>
  <c r="E108" i="2" s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E110" i="2" s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62" i="2" s="1"/>
  <c r="G58" i="2"/>
  <c r="G60" i="2"/>
  <c r="F2" i="11"/>
  <c r="L612" i="1"/>
  <c r="H662" i="1"/>
  <c r="L611" i="1"/>
  <c r="G662" i="1"/>
  <c r="L610" i="1"/>
  <c r="F662" i="1"/>
  <c r="I662" i="1" s="1"/>
  <c r="C40" i="10"/>
  <c r="F59" i="1"/>
  <c r="G59" i="1"/>
  <c r="G111" i="1" s="1"/>
  <c r="H59" i="1"/>
  <c r="I59" i="1"/>
  <c r="F78" i="1"/>
  <c r="F93" i="1"/>
  <c r="F110" i="1"/>
  <c r="G110" i="1"/>
  <c r="H78" i="1"/>
  <c r="H93" i="1"/>
  <c r="H110" i="1"/>
  <c r="I110" i="1"/>
  <c r="I111" i="1"/>
  <c r="J110" i="1"/>
  <c r="J111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9" i="10"/>
  <c r="C21" i="10"/>
  <c r="L249" i="1"/>
  <c r="L331" i="1"/>
  <c r="C23" i="10"/>
  <c r="L253" i="1"/>
  <c r="C25" i="10"/>
  <c r="L267" i="1"/>
  <c r="L268" i="1"/>
  <c r="L348" i="1"/>
  <c r="L349" i="1"/>
  <c r="I664" i="1"/>
  <c r="I669" i="1"/>
  <c r="L228" i="1"/>
  <c r="F660" i="1"/>
  <c r="F661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/>
  <c r="L522" i="1"/>
  <c r="F550" i="1"/>
  <c r="L525" i="1"/>
  <c r="G548" i="1" s="1"/>
  <c r="L526" i="1"/>
  <c r="G549" i="1"/>
  <c r="L527" i="1"/>
  <c r="G550" i="1"/>
  <c r="L530" i="1"/>
  <c r="H548" i="1"/>
  <c r="L531" i="1"/>
  <c r="H549" i="1"/>
  <c r="L532" i="1"/>
  <c r="H550" i="1"/>
  <c r="L535" i="1"/>
  <c r="I548" i="1"/>
  <c r="L536" i="1"/>
  <c r="I549" i="1"/>
  <c r="L537" i="1"/>
  <c r="I550" i="1"/>
  <c r="L540" i="1"/>
  <c r="J548" i="1" s="1"/>
  <c r="L541" i="1"/>
  <c r="J549" i="1" s="1"/>
  <c r="K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G8" i="2" s="1"/>
  <c r="C9" i="2"/>
  <c r="D9" i="2"/>
  <c r="E9" i="2"/>
  <c r="F9" i="2"/>
  <c r="I439" i="1"/>
  <c r="J10" i="1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E61" i="2"/>
  <c r="E62" i="2" s="1"/>
  <c r="F60" i="2"/>
  <c r="C65" i="2"/>
  <c r="C66" i="2"/>
  <c r="C68" i="2"/>
  <c r="D68" i="2"/>
  <c r="D69" i="2" s="1"/>
  <c r="E68" i="2"/>
  <c r="E69" i="2" s="1"/>
  <c r="E80" i="2" s="1"/>
  <c r="F68" i="2"/>
  <c r="F69" i="2" s="1"/>
  <c r="G68" i="2"/>
  <c r="G69" i="2" s="1"/>
  <c r="G80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C109" i="2"/>
  <c r="E109" i="2"/>
  <c r="C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 s="1"/>
  <c r="H502" i="1"/>
  <c r="D163" i="2" s="1"/>
  <c r="I502" i="1"/>
  <c r="E163" i="2" s="1"/>
  <c r="J502" i="1"/>
  <c r="F163" i="2" s="1"/>
  <c r="F19" i="1"/>
  <c r="G19" i="1"/>
  <c r="G617" i="1"/>
  <c r="H19" i="1"/>
  <c r="I19" i="1"/>
  <c r="F32" i="1"/>
  <c r="G32" i="1"/>
  <c r="H32" i="1"/>
  <c r="I32" i="1"/>
  <c r="F50" i="1"/>
  <c r="G50" i="1"/>
  <c r="G51" i="1" s="1"/>
  <c r="H617" i="1" s="1"/>
  <c r="J617" i="1" s="1"/>
  <c r="H50" i="1"/>
  <c r="I50" i="1"/>
  <c r="I51" i="1" s="1"/>
  <c r="H619" i="1" s="1"/>
  <c r="J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L336" i="1" s="1"/>
  <c r="L337" i="1" s="1"/>
  <c r="L351" i="1" s="1"/>
  <c r="G632" i="1" s="1"/>
  <c r="J632" i="1" s="1"/>
  <c r="J336" i="1"/>
  <c r="J337" i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/>
  <c r="G445" i="1"/>
  <c r="H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J475" i="1" s="1"/>
  <c r="H625" i="1" s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H638" i="1"/>
  <c r="G639" i="1"/>
  <c r="H639" i="1"/>
  <c r="G640" i="1"/>
  <c r="H640" i="1"/>
  <c r="H641" i="1"/>
  <c r="G642" i="1"/>
  <c r="H642" i="1"/>
  <c r="G643" i="1"/>
  <c r="H643" i="1"/>
  <c r="G644" i="1"/>
  <c r="H644" i="1"/>
  <c r="H646" i="1"/>
  <c r="G648" i="1"/>
  <c r="G649" i="1"/>
  <c r="G650" i="1"/>
  <c r="J650" i="1" s="1"/>
  <c r="G651" i="1"/>
  <c r="H651" i="1"/>
  <c r="G652" i="1"/>
  <c r="H652" i="1"/>
  <c r="G653" i="1"/>
  <c r="H653" i="1"/>
  <c r="H654" i="1"/>
  <c r="F191" i="1"/>
  <c r="L255" i="1"/>
  <c r="K256" i="1"/>
  <c r="K270" i="1" s="1"/>
  <c r="I256" i="1"/>
  <c r="I270" i="1" s="1"/>
  <c r="G256" i="1"/>
  <c r="G270" i="1" s="1"/>
  <c r="G159" i="2"/>
  <c r="C18" i="2"/>
  <c r="F31" i="2"/>
  <c r="C26" i="10"/>
  <c r="L327" i="1"/>
  <c r="L350" i="1"/>
  <c r="A31" i="12"/>
  <c r="C69" i="2"/>
  <c r="A40" i="12"/>
  <c r="G161" i="2"/>
  <c r="D61" i="2"/>
  <c r="D62" i="2" s="1"/>
  <c r="D103" i="2" s="1"/>
  <c r="E49" i="2"/>
  <c r="D18" i="13"/>
  <c r="C18" i="13"/>
  <c r="D7" i="13"/>
  <c r="C7" i="13"/>
  <c r="F102" i="2"/>
  <c r="E18" i="2"/>
  <c r="D17" i="13"/>
  <c r="C17" i="13"/>
  <c r="D6" i="13"/>
  <c r="C6" i="13"/>
  <c r="E8" i="13"/>
  <c r="C8" i="13"/>
  <c r="G158" i="2"/>
  <c r="C9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57" i="2"/>
  <c r="G155" i="2"/>
  <c r="E143" i="2"/>
  <c r="G102" i="2"/>
  <c r="E102" i="2"/>
  <c r="C102" i="2"/>
  <c r="D90" i="2"/>
  <c r="F90" i="2"/>
  <c r="C61" i="2"/>
  <c r="C62" i="2" s="1"/>
  <c r="C103" i="2" s="1"/>
  <c r="E31" i="2"/>
  <c r="C31" i="2"/>
  <c r="G61" i="2"/>
  <c r="D19" i="13"/>
  <c r="C19" i="13"/>
  <c r="D14" i="13"/>
  <c r="C14" i="13"/>
  <c r="E13" i="13"/>
  <c r="C13" i="13"/>
  <c r="E77" i="2"/>
  <c r="L426" i="1"/>
  <c r="J256" i="1"/>
  <c r="J270" i="1" s="1"/>
  <c r="H111" i="1"/>
  <c r="F111" i="1"/>
  <c r="J640" i="1"/>
  <c r="K604" i="1"/>
  <c r="G647" i="1"/>
  <c r="J647" i="1" s="1"/>
  <c r="J570" i="1"/>
  <c r="K570" i="1"/>
  <c r="L432" i="1"/>
  <c r="L418" i="1"/>
  <c r="I168" i="1"/>
  <c r="H168" i="1"/>
  <c r="J643" i="1"/>
  <c r="J642" i="1"/>
  <c r="H475" i="1"/>
  <c r="H623" i="1" s="1"/>
  <c r="J623" i="1" s="1"/>
  <c r="F475" i="1"/>
  <c r="H621" i="1"/>
  <c r="J621" i="1" s="1"/>
  <c r="I475" i="1"/>
  <c r="H624" i="1" s="1"/>
  <c r="J624" i="1" s="1"/>
  <c r="G475" i="1"/>
  <c r="H622" i="1"/>
  <c r="J622" i="1" s="1"/>
  <c r="G337" i="1"/>
  <c r="G351" i="1" s="1"/>
  <c r="F168" i="1"/>
  <c r="J139" i="1"/>
  <c r="F570" i="1"/>
  <c r="H256" i="1"/>
  <c r="H270" i="1"/>
  <c r="I551" i="1"/>
  <c r="K597" i="1"/>
  <c r="G646" i="1" s="1"/>
  <c r="J646" i="1" s="1"/>
  <c r="K544" i="1"/>
  <c r="H551" i="1"/>
  <c r="C29" i="10"/>
  <c r="H139" i="1"/>
  <c r="L400" i="1"/>
  <c r="C138" i="2" s="1"/>
  <c r="C140" i="2" s="1"/>
  <c r="L392" i="1"/>
  <c r="A13" i="12"/>
  <c r="F22" i="13"/>
  <c r="H25" i="13"/>
  <c r="C25" i="13"/>
  <c r="J639" i="1"/>
  <c r="H570" i="1"/>
  <c r="L559" i="1"/>
  <c r="J544" i="1"/>
  <c r="F337" i="1"/>
  <c r="F351" i="1"/>
  <c r="G191" i="1"/>
  <c r="H191" i="1"/>
  <c r="C35" i="10"/>
  <c r="L308" i="1"/>
  <c r="E16" i="13"/>
  <c r="E33" i="13" s="1"/>
  <c r="D35" i="13" s="1"/>
  <c r="C49" i="2"/>
  <c r="J654" i="1"/>
  <c r="J644" i="1"/>
  <c r="L569" i="1"/>
  <c r="I570" i="1"/>
  <c r="I544" i="1"/>
  <c r="L564" i="1"/>
  <c r="G544" i="1"/>
  <c r="L544" i="1"/>
  <c r="C22" i="13"/>
  <c r="C137" i="2"/>
  <c r="H33" i="13"/>
  <c r="C24" i="10"/>
  <c r="G659" i="1"/>
  <c r="G31" i="13"/>
  <c r="G33" i="13" s="1"/>
  <c r="I337" i="1"/>
  <c r="I351" i="1" s="1"/>
  <c r="J649" i="1"/>
  <c r="L406" i="1"/>
  <c r="C139" i="2"/>
  <c r="L570" i="1"/>
  <c r="I191" i="1"/>
  <c r="E90" i="2"/>
  <c r="L407" i="1"/>
  <c r="G636" i="1"/>
  <c r="J636" i="1" s="1"/>
  <c r="D50" i="2"/>
  <c r="J653" i="1"/>
  <c r="J652" i="1"/>
  <c r="L433" i="1"/>
  <c r="G637" i="1" s="1"/>
  <c r="J637" i="1" s="1"/>
  <c r="J433" i="1"/>
  <c r="F433" i="1"/>
  <c r="K433" i="1"/>
  <c r="G133" i="2"/>
  <c r="G143" i="2"/>
  <c r="G144" i="2" s="1"/>
  <c r="F31" i="13"/>
  <c r="J192" i="1"/>
  <c r="G645" i="1"/>
  <c r="G168" i="1"/>
  <c r="C39" i="10" s="1"/>
  <c r="G139" i="1"/>
  <c r="C5" i="10"/>
  <c r="G16" i="2"/>
  <c r="F33" i="13"/>
  <c r="F544" i="1"/>
  <c r="H433" i="1"/>
  <c r="D102" i="2"/>
  <c r="I139" i="1"/>
  <c r="I192" i="1"/>
  <c r="G629" i="1" s="1"/>
  <c r="J629" i="1" s="1"/>
  <c r="A22" i="12"/>
  <c r="H645" i="1"/>
  <c r="H647" i="1"/>
  <c r="J651" i="1"/>
  <c r="G570" i="1"/>
  <c r="I433" i="1"/>
  <c r="G433" i="1"/>
  <c r="G630" i="1"/>
  <c r="J645" i="1"/>
  <c r="C50" i="2"/>
  <c r="E50" i="2"/>
  <c r="H51" i="1"/>
  <c r="H618" i="1"/>
  <c r="J618" i="1" s="1"/>
  <c r="F51" i="1"/>
  <c r="H616" i="1" s="1"/>
  <c r="J616" i="1" s="1"/>
  <c r="D18" i="2"/>
  <c r="H544" i="1"/>
  <c r="F551" i="1"/>
  <c r="J638" i="1"/>
  <c r="I445" i="1"/>
  <c r="G641" i="1"/>
  <c r="J641" i="1" s="1"/>
  <c r="J630" i="1"/>
  <c r="G12" i="2"/>
  <c r="J633" i="1"/>
  <c r="H660" i="1"/>
  <c r="D29" i="13"/>
  <c r="C29" i="13"/>
  <c r="D126" i="2"/>
  <c r="D127" i="2"/>
  <c r="D144" i="2" s="1"/>
  <c r="G660" i="1"/>
  <c r="G663" i="1" s="1"/>
  <c r="E127" i="2"/>
  <c r="L289" i="1"/>
  <c r="D15" i="13"/>
  <c r="C15" i="13"/>
  <c r="H661" i="1"/>
  <c r="I661" i="1"/>
  <c r="C16" i="13"/>
  <c r="C127" i="2"/>
  <c r="D12" i="13"/>
  <c r="C12" i="13" s="1"/>
  <c r="L210" i="1"/>
  <c r="L256" i="1" s="1"/>
  <c r="L270" i="1" s="1"/>
  <c r="G631" i="1" s="1"/>
  <c r="J631" i="1" s="1"/>
  <c r="D5" i="13"/>
  <c r="H192" i="1"/>
  <c r="G628" i="1" s="1"/>
  <c r="J628" i="1" s="1"/>
  <c r="F139" i="1"/>
  <c r="C38" i="10"/>
  <c r="C80" i="2"/>
  <c r="F192" i="1"/>
  <c r="G626" i="1" s="1"/>
  <c r="J626" i="1" s="1"/>
  <c r="I660" i="1"/>
  <c r="D31" i="13"/>
  <c r="C31" i="13" s="1"/>
  <c r="F659" i="1"/>
  <c r="I659" i="1"/>
  <c r="C5" i="13"/>
  <c r="D33" i="13"/>
  <c r="D36" i="13" s="1"/>
  <c r="I663" i="1"/>
  <c r="I671" i="1" s="1"/>
  <c r="C7" i="10" s="1"/>
  <c r="H671" i="1"/>
  <c r="C6" i="10" s="1"/>
  <c r="H666" i="1"/>
  <c r="F663" i="1"/>
  <c r="F671" i="1" s="1"/>
  <c r="C4" i="10" s="1"/>
  <c r="J551" i="1" l="1"/>
  <c r="K550" i="1"/>
  <c r="F666" i="1"/>
  <c r="I666" i="1"/>
  <c r="F103" i="2"/>
  <c r="J648" i="1"/>
  <c r="C143" i="2"/>
  <c r="E103" i="2"/>
  <c r="G21" i="2"/>
  <c r="G31" i="2" s="1"/>
  <c r="J32" i="1"/>
  <c r="J19" i="1"/>
  <c r="G620" i="1" s="1"/>
  <c r="G9" i="2"/>
  <c r="C144" i="2"/>
  <c r="G666" i="1"/>
  <c r="G671" i="1"/>
  <c r="G163" i="2"/>
  <c r="G36" i="2"/>
  <c r="G49" i="2" s="1"/>
  <c r="G50" i="2" s="1"/>
  <c r="J50" i="1"/>
  <c r="G18" i="2"/>
  <c r="K548" i="1"/>
  <c r="K551" i="1" s="1"/>
  <c r="G551" i="1"/>
  <c r="G192" i="1"/>
  <c r="G627" i="1" s="1"/>
  <c r="J627" i="1" s="1"/>
  <c r="C36" i="10"/>
  <c r="G103" i="2"/>
  <c r="E114" i="2"/>
  <c r="E144" i="2" s="1"/>
  <c r="G634" i="1"/>
  <c r="J634" i="1" s="1"/>
  <c r="C27" i="10"/>
  <c r="C28" i="10" s="1"/>
  <c r="F143" i="2"/>
  <c r="F144" i="2" s="1"/>
  <c r="D25" i="10" l="1"/>
  <c r="D12" i="10"/>
  <c r="D21" i="10"/>
  <c r="D19" i="10"/>
  <c r="D22" i="10"/>
  <c r="D18" i="10"/>
  <c r="D15" i="10"/>
  <c r="D26" i="10"/>
  <c r="D23" i="10"/>
  <c r="D24" i="10"/>
  <c r="D11" i="10"/>
  <c r="D20" i="10"/>
  <c r="D10" i="10"/>
  <c r="C30" i="10"/>
  <c r="D13" i="10"/>
  <c r="D17" i="10"/>
  <c r="D16" i="10"/>
  <c r="G625" i="1"/>
  <c r="J625" i="1" s="1"/>
  <c r="J51" i="1"/>
  <c r="H620" i="1" s="1"/>
  <c r="D27" i="10"/>
  <c r="C41" i="10"/>
  <c r="D36" i="10" s="1"/>
  <c r="J620" i="1"/>
  <c r="H655" i="1"/>
  <c r="D39" i="10" l="1"/>
  <c r="D35" i="10"/>
  <c r="D37" i="10"/>
  <c r="D40" i="10"/>
  <c r="D38" i="10"/>
  <c r="D2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<sst xmlns="http://schemas.openxmlformats.org/spreadsheetml/2006/main" count="3946" uniqueCount="912">
  <si>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</si>
  <si>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</si>
  <si>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</si>
  <si>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</si>
  <si>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</si>
  <si>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</si>
  <si>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</si>
  <si>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</si>
  <si>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</si>
  <si>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</si>
  <si>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</si>
  <si>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</si>
  <si>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</si>
  <si>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</si>
  <si>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</si>
  <si>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</si>
  <si>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</si>
  <si>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</si>
  <si>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</si>
  <si>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</si>
  <si>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</si>
  <si>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</si>
  <si>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</si>
  <si>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</si>
  <si>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</si>
  <si>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</si>
  <si>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</si>
  <si>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</si>
  <si>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</si>
  <si>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</si>
  <si>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</si>
  <si>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</si>
  <si>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</si>
  <si>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</si>
  <si>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</si>
  <si>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</si>
  <si>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</si>
  <si>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</si>
  <si>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</si>
  <si>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</si>
  <si>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</si>
  <si>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</si>
  <si>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</si>
  <si>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</si>
  <si>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</si>
  <si>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</si>
  <si>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</si>
  <si>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</si>
  <si>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</si>
  <si>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</si>
  <si>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</si>
  <si>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</si>
  <si>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</si>
  <si>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</si>
  <si>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</si>
  <si>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</si>
  <si>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</si>
  <si>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</si>
  <si>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</si>
  <si>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</si>
  <si>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</si>
  <si>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</si>
  <si>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</si>
  <si>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</si>
  <si>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</si>
  <si>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</si>
  <si>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</si>
  <si>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</si>
  <si>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</si>
  <si>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</si>
  <si>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</si>
  <si>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</si>
  <si>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</si>
  <si>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</si>
  <si>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</si>
  <si>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</si>
  <si>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</si>
  <si>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</si>
  <si>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</si>
  <si>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</si>
  <si>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</si>
  <si>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</si>
  <si>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</si>
  <si>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</si>
  <si>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</si>
  <si>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</si>
  <si>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</si>
  <si>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</si>
  <si>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</si>
  <si>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</si>
  <si>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</si>
  <si>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</si>
  <si>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</si>
  <si>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</si>
  <si>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</si>
  <si>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</si>
  <si>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</si>
  <si>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</si>
  <si>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</si>
  <si>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</si>
  <si>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</si>
  <si>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</si>
  <si>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</si>
  <si>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</si>
  <si>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</si>
  <si>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</si>
  <si>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</si>
  <si>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</si>
  <si>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</si>
  <si>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</si>
  <si>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</si>
  <si>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</si>
  <si>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</si>
  <si>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</si>
  <si>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</si>
  <si>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</si>
  <si>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</si>
  <si>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</si>
  <si>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</si>
  <si>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</si>
  <si>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</si>
  <si>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</si>
  <si>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</si>
  <si>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</si>
  <si>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</si>
  <si>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</si>
  <si>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</si>
  <si>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</si>
  <si>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</si>
  <si>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</si>
  <si>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</si>
  <si>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</si>
  <si>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</si>
  <si>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</si>
  <si>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</si>
  <si>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</si>
  <si>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</si>
  <si>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</si>
  <si>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</si>
  <si>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</si>
  <si>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</si>
  <si>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</si>
  <si>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</si>
  <si>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</si>
  <si>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</si>
  <si>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</si>
  <si>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</si>
  <si>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</si>
  <si>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</si>
  <si>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</si>
  <si>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</si>
  <si>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</si>
  <si>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</si>
  <si>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</si>
  <si>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</si>
  <si>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</si>
  <si>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</si>
  <si>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</si>
  <si>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</si>
  <si>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</si>
  <si>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</si>
  <si>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</si>
  <si>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</si>
  <si>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</si>
  <si>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</si>
  <si>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</si>
  <si>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</si>
  <si>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</si>
  <si>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</si>
  <si>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</si>
  <si>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</si>
  <si>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</si>
  <si>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</si>
  <si>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</si>
  <si>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</si>
  <si>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</si>
  <si>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</si>
  <si>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</si>
  <si>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</si>
  <si>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</si>
  <si>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</si>
  <si>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</si>
  <si>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</si>
  <si>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</si>
  <si>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</si>
  <si>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</si>
  <si>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</si>
  <si>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</si>
  <si>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</si>
  <si>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</si>
  <si>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</si>
  <si>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</si>
  <si>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</si>
  <si>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</si>
  <si>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</si>
  <si>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</si>
  <si>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</si>
  <si>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</si>
  <si>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</si>
  <si>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</si>
  <si>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</si>
  <si>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</si>
  <si>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</si>
  <si>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</si>
  <si>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</si>
  <si>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</si>
  <si>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</si>
  <si>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</si>
  <si>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</si>
  <si>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</si>
  <si>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</si>
  <si>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</si>
  <si>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</si>
  <si>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</si>
  <si>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</si>
  <si>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</si>
  <si>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</si>
  <si>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</si>
  <si>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</si>
  <si>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</si>
  <si>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</si>
  <si>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</si>
  <si>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</si>
  <si>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</si>
  <si>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</si>
  <si>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</si>
  <si>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</si>
  <si>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</si>
  <si>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</si>
  <si>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</si>
  <si>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</si>
  <si>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</si>
  <si>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</si>
  <si>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</si>
  <si>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</si>
  <si>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</si>
  <si>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</si>
  <si>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</si>
  <si>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</si>
  <si>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</si>
  <si>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</si>
  <si>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</si>
  <si>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</si>
  <si>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</si>
  <si>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</si>
  <si>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</si>
  <si>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</si>
  <si>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</si>
  <si>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</si>
  <si>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</si>
  <si>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</si>
  <si>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</si>
  <si>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</si>
  <si>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</si>
  <si>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</si>
  <si>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</si>
  <si>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</si>
  <si>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</si>
  <si>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</si>
  <si>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</si>
  <si>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</si>
  <si>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</si>
  <si>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</si>
  <si>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</si>
  <si>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</si>
  <si>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</si>
  <si>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</si>
  <si>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</si>
  <si>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</si>
  <si>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</si>
  <si>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</si>
  <si>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</si>
  <si>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</si>
  <si>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</si>
  <si>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</si>
  <si>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</si>
  <si>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</si>
  <si>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</si>
  <si>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</si>
  <si>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</si>
  <si>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</si>
  <si>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</si>
  <si>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</si>
  <si>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</si>
  <si>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</si>
  <si>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</si>
  <si>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</si>
  <si>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</si>
  <si>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</si>
  <si>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</si>
  <si>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</si>
  <si>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</si>
  <si>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</si>
  <si>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</si>
  <si>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</si>
  <si>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</si>
  <si>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</si>
  <si>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</si>
  <si>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</si>
  <si>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</si>
  <si>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</si>
  <si>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</si>
  <si>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</si>
  <si>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</si>
  <si>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</si>
  <si>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</si>
  <si>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</si>
  <si>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</si>
  <si>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</si>
  <si>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</si>
  <si>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</si>
  <si>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</si>
  <si>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</si>
  <si>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</si>
  <si>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</si>
  <si>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</si>
  <si>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</si>
  <si>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</si>
  <si>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</si>
  <si>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</si>
  <si>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</si>
  <si>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</si>
  <si>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</si>
  <si>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</si>
  <si>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</si>
  <si>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</si>
  <si>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</si>
  <si>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</si>
  <si>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</si>
  <si>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</si>
  <si>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</si>
  <si>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</si>
  <si>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</si>
  <si>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</si>
  <si>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</si>
  <si>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</si>
  <si>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</si>
  <si>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</si>
  <si>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</si>
  <si>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</si>
  <si>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</si>
  <si>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</si>
  <si>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</si>
  <si>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</si>
  <si>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</si>
  <si>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</si>
  <si>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</si>
  <si>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</si>
  <si>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</si>
  <si>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</si>
  <si>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</si>
  <si>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</si>
  <si>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</si>
  <si>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</si>
  <si>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</si>
  <si>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</si>
  <si>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</si>
  <si>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</si>
  <si>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</si>
  <si>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</si>
  <si>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</si>
  <si>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</si>
  <si>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</si>
  <si>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</si>
  <si>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</si>
  <si>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</si>
  <si>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</si>
  <si>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</si>
  <si>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</si>
  <si>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</si>
  <si>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</si>
  <si>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</si>
  <si>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</si>
  <si>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</si>
  <si>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</si>
  <si>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</si>
  <si>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</si>
  <si>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</si>
  <si>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</si>
  <si>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</si>
  <si>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</si>
  <si>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</si>
  <si>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</si>
  <si>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</si>
  <si>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</si>
  <si>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</si>
  <si>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</si>
  <si>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</si>
  <si>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</si>
  <si>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</si>
  <si>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</si>
  <si>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</si>
  <si>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</si>
  <si>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</si>
  <si>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</si>
  <si>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</si>
  <si>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</si>
  <si>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</si>
  <si>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</si>
  <si>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</si>
  <si>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</si>
  <si>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</si>
  <si>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</si>
  <si>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</si>
  <si>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</si>
  <si>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</si>
  <si>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</si>
  <si>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</si>
  <si>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</si>
  <si>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</si>
  <si>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</si>
  <si>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</si>
  <si>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</si>
  <si>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</si>
  <si>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</si>
  <si>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</si>
  <si>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</si>
  <si>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</si>
  <si>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</si>
  <si>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</si>
  <si>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</si>
  <si>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</si>
  <si>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</si>
  <si>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</si>
  <si>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</si>
  <si>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</si>
  <si>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</si>
  <si>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</si>
  <si>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</si>
  <si>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</si>
  <si>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</si>
  <si>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</si>
  <si>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</si>
  <si>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</si>
  <si>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</si>
  <si>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</si>
  <si>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</si>
  <si>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</si>
  <si>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</si>
  <si>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</si>
  <si>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</si>
  <si>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</si>
  <si>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</si>
  <si>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</si>
  <si>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</si>
  <si>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</si>
  <si>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</si>
  <si>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</si>
  <si>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</si>
  <si>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</si>
  <si>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</si>
  <si>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</si>
  <si>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</si>
  <si>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</si>
  <si>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</si>
  <si>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</si>
  <si>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</si>
  <si>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</si>
  <si>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</si>
  <si>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</si>
  <si>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</si>
  <si>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</si>
  <si>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</si>
  <si>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</si>
  <si>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</si>
  <si>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</si>
  <si>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</si>
  <si>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</si>
  <si>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</si>
  <si>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</si>
  <si>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</si>
  <si>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</si>
  <si>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</si>
  <si>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</si>
  <si>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</si>
  <si>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</si>
  <si>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</si>
  <si>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</si>
  <si>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</si>
  <si>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</si>
  <si>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</si>
  <si>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</si>
  <si>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</si>
  <si>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</si>
  <si>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</si>
  <si>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</si>
  <si>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</si>
  <si>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</si>
  <si>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</si>
  <si>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</si>
  <si>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</si>
  <si>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</si>
  <si>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</si>
  <si>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</si>
  <si>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</si>
  <si>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</si>
  <si>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</si>
  <si>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</si>
  <si>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</si>
  <si>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</si>
  <si>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</si>
  <si>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</si>
  <si>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</si>
  <si>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</si>
  <si>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</si>
  <si>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</si>
  <si>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</si>
  <si>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</si>
  <si>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</si>
  <si>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</si>
  <si>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</si>
  <si>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</si>
  <si>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</si>
  <si>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</si>
  <si>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</si>
  <si>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</si>
  <si>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</si>
  <si>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</si>
  <si>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</si>
  <si>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</si>
  <si>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</si>
  <si>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</si>
  <si>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</si>
  <si>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</si>
  <si>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</si>
  <si>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</si>
  <si>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</si>
  <si>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</si>
  <si>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</si>
  <si>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</si>
  <si>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</si>
  <si>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</si>
  <si>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</si>
  <si>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</si>
  <si>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</si>
  <si>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</si>
  <si>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</si>
  <si>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</si>
  <si>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</si>
  <si>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</si>
  <si>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</si>
  <si>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</si>
  <si>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</si>
  <si>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</si>
  <si>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</si>
  <si>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</si>
  <si>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</si>
  <si>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</si>
  <si>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</si>
  <si>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</si>
  <si>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</si>
  <si>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</si>
  <si>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</si>
  <si>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</si>
  <si>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</si>
  <si>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</si>
  <si>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</si>
  <si>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</si>
  <si>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</si>
  <si>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</si>
  <si>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</si>
  <si>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</si>
  <si>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</si>
  <si>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</si>
  <si>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</si>
  <si>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</si>
  <si>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</si>
  <si>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</si>
  <si>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</si>
  <si>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</si>
  <si>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</si>
  <si>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</si>
  <si>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</si>
  <si>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</si>
  <si>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</si>
  <si>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</si>
  <si>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</si>
  <si>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</si>
  <si>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</si>
  <si>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</si>
  <si>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</si>
  <si>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</si>
  <si>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</si>
  <si>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</si>
  <si>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</si>
  <si>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</si>
  <si>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</si>
  <si>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</si>
  <si>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</si>
  <si>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</si>
  <si>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</si>
  <si>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</si>
  <si>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</si>
  <si>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</si>
  <si>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</si>
  <si>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</si>
  <si>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</si>
  <si>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</si>
  <si>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</si>
  <si>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</si>
  <si>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</si>
  <si>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</si>
  <si>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</si>
  <si>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</si>
  <si>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</si>
  <si>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</si>
  <si>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</si>
  <si>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</si>
  <si>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</si>
  <si>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</si>
  <si>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</si>
  <si>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</si>
  <si>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</si>
  <si>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</si>
  <si>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</si>
  <si>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</si>
  <si>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</si>
  <si>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</si>
  <si>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</si>
  <si>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</si>
  <si>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</si>
  <si>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</si>
  <si>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</si>
  <si>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</si>
  <si>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</si>
  <si>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</si>
  <si>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</si>
  <si>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</si>
  <si>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</si>
  <si>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</si>
  <si>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</si>
  <si>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</si>
  <si>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</si>
  <si>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</si>
  <si>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</si>
  <si>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</si>
  <si>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</si>
  <si>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</si>
  <si>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</si>
  <si>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</si>
  <si>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</si>
  <si>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</si>
  <si>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</si>
  <si>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</si>
  <si>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</si>
  <si>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</si>
  <si>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</si>
  <si>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</si>
  <si>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</si>
  <si>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</si>
  <si>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</si>
  <si>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</si>
  <si>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</si>
  <si>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</si>
  <si>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</si>
  <si>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</si>
  <si>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</si>
  <si>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</si>
  <si>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</si>
  <si>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</si>
  <si>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</si>
  <si>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</si>
  <si>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</si>
  <si>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</si>
  <si>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</si>
  <si>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</si>
  <si>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</si>
  <si>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</si>
  <si>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</si>
  <si>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</si>
  <si>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</si>
  <si>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</si>
  <si>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</si>
  <si>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</si>
  <si>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</si>
  <si>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</si>
  <si>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</si>
  <si>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</si>
  <si>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</si>
  <si>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</si>
  <si>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</si>
  <si>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</si>
  <si>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</si>
  <si>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</si>
  <si>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</si>
  <si>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</si>
  <si>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</si>
  <si>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</si>
  <si>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</si>
  <si>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</si>
  <si>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</si>
  <si>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</si>
  <si>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</si>
  <si>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</si>
  <si>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</si>
  <si>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</si>
  <si>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</si>
  <si>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</si>
  <si>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</si>
  <si>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</si>
  <si>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</si>
  <si>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</si>
  <si>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</si>
  <si>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</si>
  <si>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</si>
  <si>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</si>
  <si>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</si>
  <si>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</si>
  <si>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</si>
  <si>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</si>
  <si>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</si>
  <si>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</si>
  <si>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</si>
  <si>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</si>
  <si>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</si>
  <si>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</si>
  <si>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</si>
  <si>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</si>
  <si>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</si>
  <si>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</si>
  <si>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</si>
  <si>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</si>
  <si>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</si>
  <si>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</si>
  <si>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</si>
  <si>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</si>
  <si>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</si>
  <si>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</si>
  <si>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</si>
  <si>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</si>
  <si>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</si>
  <si>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</si>
  <si>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</si>
  <si>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</si>
  <si>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</si>
  <si>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</si>
  <si>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</si>
  <si>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</si>
  <si>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</si>
  <si>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</si>
  <si>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</si>
  <si>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</si>
  <si>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</si>
  <si>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</si>
  <si>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</si>
  <si>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</si>
  <si>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</si>
  <si>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</si>
  <si>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</si>
  <si>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</si>
  <si>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</si>
  <si>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</si>
  <si>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</si>
  <si>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</si>
  <si>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</si>
  <si>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</si>
  <si>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</si>
  <si>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</si>
  <si>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</si>
  <si>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</si>
  <si>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</si>
  <si>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</si>
  <si>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</si>
  <si>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</si>
  <si>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</si>
  <si>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</si>
  <si>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</si>
  <si>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</si>
  <si>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</si>
  <si>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</si>
  <si>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</si>
  <si>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</si>
  <si>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</si>
  <si>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</si>
  <si>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</si>
  <si>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</si>
  <si>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</si>
  <si>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</si>
  <si>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</si>
  <si>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</si>
  <si>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</si>
  <si>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</si>
  <si>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</si>
  <si>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</si>
  <si>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</si>
  <si>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</si>
  <si>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</si>
  <si>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</si>
  <si>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</si>
  <si>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</si>
  <si>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</si>
  <si>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</si>
  <si>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</si>
  <si>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</si>
  <si>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</si>
  <si>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</si>
  <si>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</si>
  <si>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</si>
  <si>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</si>
  <si>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</si>
  <si>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</si>
  <si>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</si>
  <si>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</si>
  <si>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</si>
  <si>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</si>
  <si>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</si>
  <si>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</si>
  <si>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</si>
  <si>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</si>
  <si>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</si>
  <si>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</si>
  <si>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</si>
  <si>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</si>
  <si>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</si>
  <si>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</si>
  <si>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</si>
  <si>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</si>
  <si>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</si>
  <si>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</si>
  <si>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</si>
  <si>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</si>
  <si>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</si>
  <si>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</si>
  <si>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</si>
  <si>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</si>
  <si>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</si>
  <si>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</si>
  <si>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</si>
  <si>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</si>
  <si>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</si>
  <si>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</si>
  <si>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</si>
  <si>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</si>
  <si>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</si>
  <si>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</si>
  <si>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</si>
  <si>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</si>
  <si>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</si>
  <si>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</si>
  <si>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</si>
  <si>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</si>
  <si>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</si>
  <si>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</si>
  <si>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</si>
  <si>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</si>
  <si>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</si>
  <si>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</si>
  <si>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</si>
  <si>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</si>
  <si>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</si>
  <si>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</si>
  <si>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</si>
  <si>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</si>
  <si>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</si>
  <si>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</si>
  <si>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</si>
  <si>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</si>
  <si>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</si>
  <si>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</si>
  <si>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</si>
  <si>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</si>
  <si>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</si>
  <si>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</si>
  <si>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</si>
  <si>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</si>
  <si>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</si>
  <si>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</si>
  <si>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</si>
  <si>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</si>
  <si>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</si>
  <si>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</si>
  <si>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</si>
  <si>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</si>
  <si>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</si>
  <si>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</si>
  <si>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</si>
  <si>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</si>
  <si>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</si>
  <si>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</si>
  <si>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</si>
  <si>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</si>
  <si>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</si>
  <si>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</si>
  <si>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</si>
  <si>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</si>
  <si>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</si>
  <si>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</si>
  <si>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</si>
  <si>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</si>
  <si>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</si>
  <si>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</si>
  <si>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</si>
  <si>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</si>
  <si>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</si>
  <si>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</si>
  <si>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</si>
  <si>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</si>
  <si>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</si>
  <si>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</si>
  <si>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</si>
  <si>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</si>
  <si>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</si>
  <si>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</si>
  <si>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</si>
  <si>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</si>
  <si>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</si>
  <si>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</si>
  <si>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</si>
  <si>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</si>
  <si>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08/03</t>
  </si>
  <si>
    <t>08/23</t>
  </si>
  <si>
    <t>Winchester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</si>
</sst>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http://www.education.nh.gov/DOE-25/FY2011-2012/Final/TOT08.xlsx" TargetMode="External"/><Relationship Id="rId13" Type="http://schemas.openxmlformats.org/officeDocument/2006/relationships/externalLinkPath" Target="http://www.education.nh.gov/DOE-25/FY2011-2012/Final/TOT13.xlsx" TargetMode="External"/><Relationship Id="rId18" Type="http://schemas.openxmlformats.org/officeDocument/2006/relationships/externalLinkPath" Target="http://www.education.nh.gov/DOE-25/FY2011-2012/Final/TOT18.xlsx" TargetMode="External"/><Relationship Id="rId3" Type="http://schemas.openxmlformats.org/officeDocument/2006/relationships/externalLinkPath" Target="http://www.education.nh.gov/DOE-25/FY2011-2012/Final/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http://www.education.nh.gov/DOE-25/FY2011-2012/Final/TOT07.xlsx" TargetMode="External"/><Relationship Id="rId12" Type="http://schemas.openxmlformats.org/officeDocument/2006/relationships/externalLinkPath" Target="http://www.education.nh.gov/DOE-25/FY2011-2012/Final/TOT12.xlsx" TargetMode="External"/><Relationship Id="rId17" Type="http://schemas.openxmlformats.org/officeDocument/2006/relationships/externalLinkPath" Target="http://www.education.nh.gov/DOE-25/FY2011-2012/Final/TOT17.xlsx" TargetMode="External"/><Relationship Id="rId2" Type="http://schemas.openxmlformats.org/officeDocument/2006/relationships/externalLinkPath" Target="http://www.education.nh.gov/DOE-25/FY2011-2012/Final/TOT02.xlsx" TargetMode="External"/><Relationship Id="rId16" Type="http://schemas.openxmlformats.org/officeDocument/2006/relationships/externalLinkPath" Target="http://www.education.nh.gov/DOE-25/FY2011-2012/Final/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http://www.education.nh.gov/DOE-25/FY2011-2012/Final/TOT01.xlsx" TargetMode="External"/><Relationship Id="rId6" Type="http://schemas.openxmlformats.org/officeDocument/2006/relationships/externalLinkPath" Target="http://www.education.nh.gov/DOE-25/FY2011-2012/Final/TOT06.xlsx" TargetMode="External"/><Relationship Id="rId11" Type="http://schemas.openxmlformats.org/officeDocument/2006/relationships/externalLinkPath" Target="http://www.education.nh.gov/DOE-25/FY2011-2012/Final/TOT11.xlsx" TargetMode="External"/><Relationship Id="rId5" Type="http://schemas.openxmlformats.org/officeDocument/2006/relationships/externalLinkPath" Target="http://www.education.nh.gov/DOE-25/FY2011-2012/Final/TOT05.xlsx" TargetMode="External"/><Relationship Id="rId15" Type="http://schemas.openxmlformats.org/officeDocument/2006/relationships/externalLinkPath" Target="http://www.education.nh.gov/DOE-25/FY2011-2012/Final/TOT15.xlsx" TargetMode="External"/><Relationship Id="rId10" Type="http://schemas.openxmlformats.org/officeDocument/2006/relationships/externalLinkPath" Target="http://www.education.nh.gov/DOE-25/FY2011-2012/Final/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http://www.education.nh.gov/DOE-25/FY2011-2012/Final/TOT04.xlsx" TargetMode="External"/><Relationship Id="rId9" Type="http://schemas.openxmlformats.org/officeDocument/2006/relationships/externalLinkPath" Target="http://www.education.nh.gov/DOE-25/FY2011-2012/Final/TOT09.xlsx" TargetMode="External"/><Relationship Id="rId14" Type="http://schemas.openxmlformats.org/officeDocument/2006/relationships/externalLinkPath" Target="http://www.education.nh.gov/DOE-25/FY2011-2012/Final/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4" sqref="H66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573</v>
      </c>
      <c r="C2" s="21">
        <v>573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512892.91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354278.35</v>
      </c>
      <c r="G12" s="18">
        <v>55099.25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26886.01</v>
      </c>
      <c r="H13" s="18">
        <v>342858.67</v>
      </c>
      <c r="I13" s="18"/>
      <c r="J13" s="67">
        <f>SUM(I441)</f>
        <v>181168.29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62325.23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7710.83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929496.49</v>
      </c>
      <c r="G19" s="41">
        <f>SUM(G9:G18)</f>
        <v>89696.09</v>
      </c>
      <c r="H19" s="41">
        <f>SUM(H9:H18)</f>
        <v>342858.67</v>
      </c>
      <c r="I19" s="41">
        <f>SUM(I9:I18)</f>
        <v>0</v>
      </c>
      <c r="J19" s="41">
        <f>SUM(J9:J18)</f>
        <v>181168.29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355283.75</v>
      </c>
      <c r="G28" s="18">
        <v>2375.65</v>
      </c>
      <c r="H28" s="18">
        <v>13108.79</v>
      </c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355283.75</v>
      </c>
      <c r="G32" s="41">
        <f>SUM(G22:G31)</f>
        <v>2375.65</v>
      </c>
      <c r="H32" s="41">
        <f>SUM(H22:H31)</f>
        <v>13108.79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87320.44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329749.88</v>
      </c>
      <c r="I47" s="18"/>
      <c r="J47" s="13">
        <f>SUM(I458)</f>
        <v>0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355283.75</v>
      </c>
      <c r="G48" s="18"/>
      <c r="H48" s="18"/>
      <c r="I48" s="18"/>
      <c r="J48" s="13">
        <f>I453</f>
        <v>181168.29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218928.99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574212.74</v>
      </c>
      <c r="G50" s="41">
        <f>SUM(G35:G49)</f>
        <v>87320.44</v>
      </c>
      <c r="H50" s="41">
        <f>SUM(H35:H49)</f>
        <v>329749.88</v>
      </c>
      <c r="I50" s="41">
        <f>SUM(I35:I49)</f>
        <v>0</v>
      </c>
      <c r="J50" s="41">
        <f>SUM(J35:J49)</f>
        <v>181168.29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929496.49</v>
      </c>
      <c r="G51" s="41">
        <f>G50+G32</f>
        <v>89696.09</v>
      </c>
      <c r="H51" s="41">
        <f>H50+H32</f>
        <v>342858.67</v>
      </c>
      <c r="I51" s="41">
        <f>I50+I32</f>
        <v>0</v>
      </c>
      <c r="J51" s="41">
        <f>J50+J32</f>
        <v>181168.29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4239163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4239163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15547.5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32389.17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>
        <v>41016.980000000003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47936.67</v>
      </c>
      <c r="G78" s="45" t="s">
        <v>289</v>
      </c>
      <c r="H78" s="41">
        <f>SUM(H62:H77)</f>
        <v>41016.980000000003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>
        <v>22.4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40428.68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16552.48</v>
      </c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>
        <v>150</v>
      </c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45350.54</v>
      </c>
      <c r="G104" s="18"/>
      <c r="H104" s="18">
        <v>5755.67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102636.68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147987.22</v>
      </c>
      <c r="G110" s="41">
        <f>SUM(G95:G109)</f>
        <v>40578.68</v>
      </c>
      <c r="H110" s="41">
        <f>SUM(H95:H109)</f>
        <v>22308.15</v>
      </c>
      <c r="I110" s="41">
        <f>SUM(I95:I109)</f>
        <v>0</v>
      </c>
      <c r="J110" s="41">
        <f>SUM(J95:J109)</f>
        <v>22.4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4435086.8899999997</v>
      </c>
      <c r="G111" s="41">
        <f>G59+G110</f>
        <v>40578.68</v>
      </c>
      <c r="H111" s="41">
        <f>H59+H78+H93+H110</f>
        <v>63325.130000000005</v>
      </c>
      <c r="I111" s="41">
        <f>I59+I110</f>
        <v>0</v>
      </c>
      <c r="J111" s="41">
        <f>J59+J110</f>
        <v>22.4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4059076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653551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4712627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61928.17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138730.18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625.29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200658.34999999998</v>
      </c>
      <c r="G135" s="41">
        <f>SUM(G122:G134)</f>
        <v>625.29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4913285.3499999996</v>
      </c>
      <c r="G139" s="41">
        <f>G120+SUM(G135:G136)</f>
        <v>625.29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170038</v>
      </c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313554.65999999997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287010.73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207773.56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166100.94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122204.41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122204.41</v>
      </c>
      <c r="G161" s="41">
        <f>SUM(G149:G160)</f>
        <v>207773.56</v>
      </c>
      <c r="H161" s="41">
        <f>SUM(H149:H160)</f>
        <v>936704.32999999984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122204.41</v>
      </c>
      <c r="G168" s="41">
        <f>G146+G161+SUM(G162:G167)</f>
        <v>207773.56</v>
      </c>
      <c r="H168" s="41">
        <f>H146+H161+SUM(H162:H167)</f>
        <v>936704.32999999984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34214.1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34214.1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34214.1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9504790.7499999981</v>
      </c>
      <c r="G192" s="47">
        <f>G111+G139+G168+G191</f>
        <v>248977.53</v>
      </c>
      <c r="H192" s="47">
        <f>H111+H139+H168+H191</f>
        <v>1000029.4599999998</v>
      </c>
      <c r="I192" s="47">
        <f>I111+I139+I168+I191</f>
        <v>0</v>
      </c>
      <c r="J192" s="47">
        <f>J111+J139+J191</f>
        <v>22.4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1339220.3700000001</v>
      </c>
      <c r="G196" s="18">
        <v>688593.33</v>
      </c>
      <c r="H196" s="18">
        <v>4392</v>
      </c>
      <c r="I196" s="18">
        <v>31258.46</v>
      </c>
      <c r="J196" s="18">
        <v>340.15</v>
      </c>
      <c r="K196" s="18">
        <v>160</v>
      </c>
      <c r="L196" s="19">
        <f>SUM(F196:K196)</f>
        <v>2063964.31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900355.59</v>
      </c>
      <c r="G197" s="18">
        <v>246374.64</v>
      </c>
      <c r="H197" s="18">
        <v>571202.93999999994</v>
      </c>
      <c r="I197" s="18">
        <v>3193.96</v>
      </c>
      <c r="J197" s="18">
        <v>16.989999999999998</v>
      </c>
      <c r="K197" s="18"/>
      <c r="L197" s="19">
        <f>SUM(F197:K197)</f>
        <v>1721144.1199999999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4312.5</v>
      </c>
      <c r="G199" s="18">
        <v>499.31</v>
      </c>
      <c r="H199" s="18">
        <v>600</v>
      </c>
      <c r="I199" s="18">
        <v>658.43</v>
      </c>
      <c r="J199" s="18"/>
      <c r="K199" s="18"/>
      <c r="L199" s="19">
        <f>SUM(F199:K199)</f>
        <v>6070.2400000000007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266912.56</v>
      </c>
      <c r="G201" s="18">
        <v>135220.4</v>
      </c>
      <c r="H201" s="18"/>
      <c r="I201" s="18">
        <v>1332.37</v>
      </c>
      <c r="J201" s="18"/>
      <c r="K201" s="18"/>
      <c r="L201" s="19">
        <f t="shared" ref="L201:L207" si="0">SUM(F201:K201)</f>
        <v>403465.32999999996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57190.1</v>
      </c>
      <c r="G202" s="18">
        <v>26015.200000000001</v>
      </c>
      <c r="H202" s="18">
        <v>9975.1200000000008</v>
      </c>
      <c r="I202" s="18">
        <v>2342.38</v>
      </c>
      <c r="J202" s="18"/>
      <c r="K202" s="18"/>
      <c r="L202" s="19">
        <f t="shared" si="0"/>
        <v>95522.8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64286.58</v>
      </c>
      <c r="G203" s="18">
        <v>76977.91</v>
      </c>
      <c r="H203" s="18">
        <v>30031.43</v>
      </c>
      <c r="I203" s="18">
        <v>18453.740000000002</v>
      </c>
      <c r="J203" s="18">
        <v>1825.29</v>
      </c>
      <c r="K203" s="18">
        <v>9888.8799999999992</v>
      </c>
      <c r="L203" s="19">
        <f t="shared" si="0"/>
        <v>201463.83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200724.07</v>
      </c>
      <c r="G204" s="18">
        <v>109764.36</v>
      </c>
      <c r="H204" s="18">
        <v>2329.34</v>
      </c>
      <c r="I204" s="18">
        <v>815.63</v>
      </c>
      <c r="J204" s="18"/>
      <c r="K204" s="18">
        <v>709</v>
      </c>
      <c r="L204" s="19">
        <f t="shared" si="0"/>
        <v>314342.40000000002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98484.87</v>
      </c>
      <c r="G205" s="18">
        <v>12989.78</v>
      </c>
      <c r="H205" s="18"/>
      <c r="I205" s="18"/>
      <c r="J205" s="18"/>
      <c r="K205" s="18"/>
      <c r="L205" s="19">
        <f t="shared" si="0"/>
        <v>111474.65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146364.4</v>
      </c>
      <c r="G206" s="18">
        <v>86608.54</v>
      </c>
      <c r="H206" s="18">
        <v>122494.53</v>
      </c>
      <c r="I206" s="18">
        <v>203941.04</v>
      </c>
      <c r="J206" s="18">
        <v>2377.39</v>
      </c>
      <c r="K206" s="18"/>
      <c r="L206" s="19">
        <f t="shared" si="0"/>
        <v>561785.9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3580</v>
      </c>
      <c r="G207" s="18">
        <v>273.87</v>
      </c>
      <c r="H207" s="18">
        <v>302103.58</v>
      </c>
      <c r="I207" s="18"/>
      <c r="J207" s="18"/>
      <c r="K207" s="18"/>
      <c r="L207" s="19">
        <f t="shared" si="0"/>
        <v>305957.45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51447.5</v>
      </c>
      <c r="G208" s="18"/>
      <c r="H208" s="18">
        <v>49329.79</v>
      </c>
      <c r="I208" s="18">
        <v>27185.34</v>
      </c>
      <c r="J208" s="18">
        <v>2580.54</v>
      </c>
      <c r="K208" s="18"/>
      <c r="L208" s="19">
        <f>SUM(F208:K208)</f>
        <v>130543.17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3132878.54</v>
      </c>
      <c r="G210" s="41">
        <f t="shared" si="1"/>
        <v>1383317.34</v>
      </c>
      <c r="H210" s="41">
        <f t="shared" si="1"/>
        <v>1092458.73</v>
      </c>
      <c r="I210" s="41">
        <f t="shared" si="1"/>
        <v>289181.35000000003</v>
      </c>
      <c r="J210" s="41">
        <f t="shared" si="1"/>
        <v>7140.36</v>
      </c>
      <c r="K210" s="41">
        <f t="shared" si="1"/>
        <v>10757.88</v>
      </c>
      <c r="L210" s="41">
        <f t="shared" si="1"/>
        <v>5915734.2000000011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1460454.28</v>
      </c>
      <c r="I232" s="18"/>
      <c r="J232" s="18"/>
      <c r="K232" s="18"/>
      <c r="L232" s="19">
        <f>SUM(F232:K232)</f>
        <v>1460454.28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1839371.84</v>
      </c>
      <c r="I233" s="18"/>
      <c r="J233" s="18"/>
      <c r="K233" s="18"/>
      <c r="L233" s="19">
        <f>SUM(F233:K233)</f>
        <v>1839371.84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263598.53000000003</v>
      </c>
      <c r="I243" s="18"/>
      <c r="J243" s="18"/>
      <c r="K243" s="18"/>
      <c r="L243" s="19">
        <f t="shared" si="4"/>
        <v>263598.53000000003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3563424.6500000004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3563424.6500000004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3132878.54</v>
      </c>
      <c r="G256" s="41">
        <f t="shared" si="8"/>
        <v>1383317.34</v>
      </c>
      <c r="H256" s="41">
        <f t="shared" si="8"/>
        <v>4655883.3800000008</v>
      </c>
      <c r="I256" s="41">
        <f t="shared" si="8"/>
        <v>289181.35000000003</v>
      </c>
      <c r="J256" s="41">
        <f t="shared" si="8"/>
        <v>7140.36</v>
      </c>
      <c r="K256" s="41">
        <f t="shared" si="8"/>
        <v>10757.88</v>
      </c>
      <c r="L256" s="41">
        <f t="shared" si="8"/>
        <v>9479158.8500000015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175000</v>
      </c>
      <c r="L259" s="19">
        <f>SUM(F259:K259)</f>
        <v>175000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87432</v>
      </c>
      <c r="L260" s="19">
        <f>SUM(F260:K260)</f>
        <v>87432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262432</v>
      </c>
      <c r="L269" s="41">
        <f t="shared" si="9"/>
        <v>262432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3132878.54</v>
      </c>
      <c r="G270" s="42">
        <f t="shared" si="11"/>
        <v>1383317.34</v>
      </c>
      <c r="H270" s="42">
        <f t="shared" si="11"/>
        <v>4655883.3800000008</v>
      </c>
      <c r="I270" s="42">
        <f t="shared" si="11"/>
        <v>289181.35000000003</v>
      </c>
      <c r="J270" s="42">
        <f t="shared" si="11"/>
        <v>7140.36</v>
      </c>
      <c r="K270" s="42">
        <f t="shared" si="11"/>
        <v>273189.88</v>
      </c>
      <c r="L270" s="42">
        <f t="shared" si="11"/>
        <v>9741590.8500000015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178341.91</v>
      </c>
      <c r="G275" s="18">
        <v>45940.75</v>
      </c>
      <c r="H275" s="18">
        <v>1217.45</v>
      </c>
      <c r="I275" s="18">
        <v>5034.25</v>
      </c>
      <c r="J275" s="18"/>
      <c r="K275" s="18"/>
      <c r="L275" s="19">
        <f>SUM(F275:K275)</f>
        <v>230534.36000000002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43350</v>
      </c>
      <c r="G276" s="18">
        <v>30948.13</v>
      </c>
      <c r="H276" s="18">
        <v>16347.5</v>
      </c>
      <c r="I276" s="18"/>
      <c r="J276" s="18"/>
      <c r="K276" s="18"/>
      <c r="L276" s="19">
        <f>SUM(F276:K276)</f>
        <v>90645.63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53492.36</v>
      </c>
      <c r="G278" s="18">
        <v>4440.76</v>
      </c>
      <c r="H278" s="18">
        <v>27657.57</v>
      </c>
      <c r="I278" s="18">
        <v>43546.879999999997</v>
      </c>
      <c r="J278" s="18"/>
      <c r="K278" s="18"/>
      <c r="L278" s="19">
        <f>SUM(F278:K278)</f>
        <v>129137.57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186048.47</v>
      </c>
      <c r="G281" s="18">
        <v>51540</v>
      </c>
      <c r="H281" s="18">
        <v>87082.08</v>
      </c>
      <c r="I281" s="18">
        <v>14736.23</v>
      </c>
      <c r="J281" s="18">
        <v>16837.61</v>
      </c>
      <c r="K281" s="18"/>
      <c r="L281" s="19">
        <f t="shared" si="12"/>
        <v>356244.38999999996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>
        <v>880.38</v>
      </c>
      <c r="I287" s="18"/>
      <c r="J287" s="18"/>
      <c r="K287" s="18"/>
      <c r="L287" s="19">
        <f>SUM(F287:K287)</f>
        <v>880.38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461232.74</v>
      </c>
      <c r="G289" s="42">
        <f t="shared" si="13"/>
        <v>132869.64000000001</v>
      </c>
      <c r="H289" s="42">
        <f t="shared" si="13"/>
        <v>133184.98000000001</v>
      </c>
      <c r="I289" s="42">
        <f t="shared" si="13"/>
        <v>63317.36</v>
      </c>
      <c r="J289" s="42">
        <f t="shared" si="13"/>
        <v>16837.61</v>
      </c>
      <c r="K289" s="42">
        <f t="shared" si="13"/>
        <v>0</v>
      </c>
      <c r="L289" s="41">
        <f t="shared" si="13"/>
        <v>807442.33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461232.74</v>
      </c>
      <c r="G337" s="41">
        <f t="shared" si="20"/>
        <v>132869.64000000001</v>
      </c>
      <c r="H337" s="41">
        <f t="shared" si="20"/>
        <v>133184.98000000001</v>
      </c>
      <c r="I337" s="41">
        <f t="shared" si="20"/>
        <v>63317.36</v>
      </c>
      <c r="J337" s="41">
        <f t="shared" si="20"/>
        <v>16837.61</v>
      </c>
      <c r="K337" s="41">
        <f t="shared" si="20"/>
        <v>0</v>
      </c>
      <c r="L337" s="41">
        <f t="shared" si="20"/>
        <v>807442.33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461232.74</v>
      </c>
      <c r="G351" s="41">
        <f>G337</f>
        <v>132869.64000000001</v>
      </c>
      <c r="H351" s="41">
        <f>H337</f>
        <v>133184.98000000001</v>
      </c>
      <c r="I351" s="41">
        <f>I337</f>
        <v>63317.36</v>
      </c>
      <c r="J351" s="41">
        <f>J337</f>
        <v>16837.61</v>
      </c>
      <c r="K351" s="47">
        <f>K337+K350</f>
        <v>0</v>
      </c>
      <c r="L351" s="41">
        <f>L337+L350</f>
        <v>807442.33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94473.279999999999</v>
      </c>
      <c r="G357" s="18">
        <v>18939.349999999999</v>
      </c>
      <c r="H357" s="18">
        <v>6223.83</v>
      </c>
      <c r="I357" s="18">
        <v>113145.84</v>
      </c>
      <c r="J357" s="18">
        <v>14349.51</v>
      </c>
      <c r="K357" s="18">
        <v>425.25</v>
      </c>
      <c r="L357" s="13">
        <f>SUM(F357:K357)</f>
        <v>247557.06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94473.279999999999</v>
      </c>
      <c r="G361" s="47">
        <f t="shared" si="22"/>
        <v>18939.349999999999</v>
      </c>
      <c r="H361" s="47">
        <f t="shared" si="22"/>
        <v>6223.83</v>
      </c>
      <c r="I361" s="47">
        <f t="shared" si="22"/>
        <v>113145.84</v>
      </c>
      <c r="J361" s="47">
        <f t="shared" si="22"/>
        <v>14349.51</v>
      </c>
      <c r="K361" s="47">
        <f t="shared" si="22"/>
        <v>425.25</v>
      </c>
      <c r="L361" s="47">
        <f t="shared" si="22"/>
        <v>247557.06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107249.46</v>
      </c>
      <c r="G366" s="18"/>
      <c r="H366" s="18"/>
      <c r="I366" s="56">
        <f>SUM(F366:H366)</f>
        <v>107249.46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5896.38</v>
      </c>
      <c r="G367" s="63"/>
      <c r="H367" s="63"/>
      <c r="I367" s="56">
        <f>SUM(F367:H367)</f>
        <v>5896.38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113145.84000000001</v>
      </c>
      <c r="G368" s="47">
        <f>SUM(G366:G367)</f>
        <v>0</v>
      </c>
      <c r="H368" s="47">
        <f>SUM(H366:H367)</f>
        <v>0</v>
      </c>
      <c r="I368" s="47">
        <f>SUM(I366:I367)</f>
        <v>113145.84000000001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22.4</v>
      </c>
      <c r="I388" s="18"/>
      <c r="J388" s="24" t="s">
        <v>289</v>
      </c>
      <c r="K388" s="24" t="s">
        <v>289</v>
      </c>
      <c r="L388" s="56">
        <f t="shared" si="25"/>
        <v>22.4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22.4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22.4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22.4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22.4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34214.1</v>
      </c>
      <c r="L414" s="56">
        <f t="shared" si="27"/>
        <v>34214.1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34214.1</v>
      </c>
      <c r="L418" s="47">
        <f t="shared" si="28"/>
        <v>34214.1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34214.1</v>
      </c>
      <c r="L433" s="47">
        <f t="shared" si="32"/>
        <v>34214.1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181168.29</v>
      </c>
      <c r="G441" s="18"/>
      <c r="H441" s="18"/>
      <c r="I441" s="56">
        <f t="shared" si="33"/>
        <v>181168.29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181168.29</v>
      </c>
      <c r="G445" s="13">
        <f>SUM(G438:G444)</f>
        <v>0</v>
      </c>
      <c r="H445" s="13">
        <f>SUM(H438:H444)</f>
        <v>0</v>
      </c>
      <c r="I445" s="13">
        <f>SUM(I438:I444)</f>
        <v>181168.29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>
        <v>181168.29</v>
      </c>
      <c r="G453" s="18"/>
      <c r="H453" s="18"/>
      <c r="I453" s="56">
        <f t="shared" ref="I453:I458" si="34">SUM(F453:H453)</f>
        <v>181168.29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181168.29</v>
      </c>
      <c r="G459" s="83">
        <f>SUM(G453:G458)</f>
        <v>0</v>
      </c>
      <c r="H459" s="83">
        <f>SUM(H453:H458)</f>
        <v>0</v>
      </c>
      <c r="I459" s="83">
        <f>SUM(I453:I458)</f>
        <v>181168.29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181168.29</v>
      </c>
      <c r="G460" s="42">
        <f>G451+G459</f>
        <v>0</v>
      </c>
      <c r="H460" s="42">
        <f>H451+H459</f>
        <v>0</v>
      </c>
      <c r="I460" s="42">
        <f>I451+I459</f>
        <v>181168.29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811012.84</v>
      </c>
      <c r="G464" s="18">
        <v>85899.97</v>
      </c>
      <c r="H464" s="18">
        <v>137162.75</v>
      </c>
      <c r="I464" s="18"/>
      <c r="J464" s="18">
        <v>215359.99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9504790.75</v>
      </c>
      <c r="G467" s="18">
        <v>248977.53</v>
      </c>
      <c r="H467" s="18">
        <v>1000029.46</v>
      </c>
      <c r="I467" s="18"/>
      <c r="J467" s="18">
        <v>22.4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9504790.75</v>
      </c>
      <c r="G469" s="53">
        <f>SUM(G467:G468)</f>
        <v>248977.53</v>
      </c>
      <c r="H469" s="53">
        <f>SUM(H467:H468)</f>
        <v>1000029.46</v>
      </c>
      <c r="I469" s="53">
        <f>SUM(I467:I468)</f>
        <v>0</v>
      </c>
      <c r="J469" s="53">
        <f>SUM(J467:J468)</f>
        <v>22.4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9741590.8499999996</v>
      </c>
      <c r="G471" s="18">
        <v>247557.06</v>
      </c>
      <c r="H471" s="18">
        <v>807442.33</v>
      </c>
      <c r="I471" s="18"/>
      <c r="J471" s="18">
        <v>34214.1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9741590.8499999996</v>
      </c>
      <c r="G473" s="53">
        <f>SUM(G471:G472)</f>
        <v>247557.06</v>
      </c>
      <c r="H473" s="53">
        <f>SUM(H471:H472)</f>
        <v>807442.33</v>
      </c>
      <c r="I473" s="53">
        <f>SUM(I471:I472)</f>
        <v>0</v>
      </c>
      <c r="J473" s="53">
        <f>SUM(J471:J472)</f>
        <v>34214.1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574212.74000000022</v>
      </c>
      <c r="G475" s="53">
        <f>(G464+G469)- G473</f>
        <v>87320.44</v>
      </c>
      <c r="H475" s="53">
        <f>(H464+H469)- H473</f>
        <v>329749.88</v>
      </c>
      <c r="I475" s="53">
        <f>(I464+I469)- I473</f>
        <v>0</v>
      </c>
      <c r="J475" s="53">
        <f>(J464+J469)- J473</f>
        <v>181168.28999999998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3504725</v>
      </c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2100000</v>
      </c>
      <c r="G494" s="18"/>
      <c r="H494" s="18"/>
      <c r="I494" s="18"/>
      <c r="J494" s="18"/>
      <c r="K494" s="53">
        <f>SUM(F494:J494)</f>
        <v>2100000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175000</v>
      </c>
      <c r="G496" s="18"/>
      <c r="H496" s="18"/>
      <c r="I496" s="18"/>
      <c r="J496" s="18"/>
      <c r="K496" s="53">
        <f t="shared" si="35"/>
        <v>175000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1925000</v>
      </c>
      <c r="G497" s="204"/>
      <c r="H497" s="204"/>
      <c r="I497" s="204"/>
      <c r="J497" s="204"/>
      <c r="K497" s="205">
        <f t="shared" si="35"/>
        <v>1925000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485762</v>
      </c>
      <c r="G498" s="18"/>
      <c r="H498" s="18"/>
      <c r="I498" s="18"/>
      <c r="J498" s="18"/>
      <c r="K498" s="53">
        <f t="shared" si="35"/>
        <v>485762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2410762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2410762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175000</v>
      </c>
      <c r="G500" s="204"/>
      <c r="H500" s="204"/>
      <c r="I500" s="204"/>
      <c r="J500" s="204"/>
      <c r="K500" s="205">
        <f t="shared" si="35"/>
        <v>175000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78682</v>
      </c>
      <c r="G501" s="18"/>
      <c r="H501" s="18"/>
      <c r="I501" s="18"/>
      <c r="J501" s="18"/>
      <c r="K501" s="53">
        <f t="shared" si="35"/>
        <v>78682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253682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253682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900355.59</v>
      </c>
      <c r="G520" s="18">
        <v>246374.64</v>
      </c>
      <c r="H520" s="18">
        <v>571202.93999999994</v>
      </c>
      <c r="I520" s="18">
        <v>3193.96</v>
      </c>
      <c r="J520" s="18">
        <v>16.989999999999998</v>
      </c>
      <c r="K520" s="18"/>
      <c r="L520" s="88">
        <f>SUM(F520:K520)</f>
        <v>1721144.1199999999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1859434.42</v>
      </c>
      <c r="I522" s="18"/>
      <c r="J522" s="18"/>
      <c r="K522" s="18"/>
      <c r="L522" s="88">
        <f>SUM(F522:K522)</f>
        <v>1859434.42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900355.59</v>
      </c>
      <c r="G523" s="108">
        <f t="shared" ref="G523:L523" si="36">SUM(G520:G522)</f>
        <v>246374.64</v>
      </c>
      <c r="H523" s="108">
        <f t="shared" si="36"/>
        <v>2430637.36</v>
      </c>
      <c r="I523" s="108">
        <f t="shared" si="36"/>
        <v>3193.96</v>
      </c>
      <c r="J523" s="108">
        <f t="shared" si="36"/>
        <v>16.989999999999998</v>
      </c>
      <c r="K523" s="108">
        <f t="shared" si="36"/>
        <v>0</v>
      </c>
      <c r="L523" s="89">
        <f t="shared" si="36"/>
        <v>3580578.54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219712.74</v>
      </c>
      <c r="I525" s="18"/>
      <c r="J525" s="18"/>
      <c r="K525" s="18"/>
      <c r="L525" s="88">
        <f>SUM(F525:K525)</f>
        <v>219712.74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219712.74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219712.74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272">
        <v>125802.3</v>
      </c>
      <c r="I540" s="18"/>
      <c r="J540" s="18"/>
      <c r="K540" s="18"/>
      <c r="L540" s="88">
        <f>SUM(F540:K540)</f>
        <v>125802.3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272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272">
        <v>196767</v>
      </c>
      <c r="I542" s="18"/>
      <c r="J542" s="18"/>
      <c r="K542" s="18"/>
      <c r="L542" s="88">
        <f>SUM(F542:K542)</f>
        <v>196767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322569.3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322569.3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900355.59</v>
      </c>
      <c r="G544" s="89">
        <f t="shared" ref="G544:L544" si="41">G523+G528+G533+G538+G543</f>
        <v>246374.64</v>
      </c>
      <c r="H544" s="89">
        <f t="shared" si="41"/>
        <v>2972919.3999999994</v>
      </c>
      <c r="I544" s="89">
        <f t="shared" si="41"/>
        <v>3193.96</v>
      </c>
      <c r="J544" s="89">
        <f t="shared" si="41"/>
        <v>16.989999999999998</v>
      </c>
      <c r="K544" s="89">
        <f t="shared" si="41"/>
        <v>0</v>
      </c>
      <c r="L544" s="89">
        <f t="shared" si="41"/>
        <v>4122860.58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1721144.1199999999</v>
      </c>
      <c r="G548" s="87">
        <f>L525</f>
        <v>219712.74</v>
      </c>
      <c r="H548" s="87">
        <f>L530</f>
        <v>0</v>
      </c>
      <c r="I548" s="87">
        <f>L535</f>
        <v>0</v>
      </c>
      <c r="J548" s="87">
        <f>L540</f>
        <v>125802.3</v>
      </c>
      <c r="K548" s="87">
        <f>SUM(F548:J548)</f>
        <v>2066659.16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1859434.42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196767</v>
      </c>
      <c r="K550" s="87">
        <f>SUM(F550:J550)</f>
        <v>2056201.42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3580578.54</v>
      </c>
      <c r="G551" s="89">
        <f t="shared" si="42"/>
        <v>219712.74</v>
      </c>
      <c r="H551" s="89">
        <f t="shared" si="42"/>
        <v>0</v>
      </c>
      <c r="I551" s="89">
        <f t="shared" si="42"/>
        <v>0</v>
      </c>
      <c r="J551" s="89">
        <f t="shared" si="42"/>
        <v>322569.3</v>
      </c>
      <c r="K551" s="89">
        <f t="shared" si="42"/>
        <v>4122860.58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1460454.28</v>
      </c>
      <c r="I574" s="87">
        <f>SUM(F574:H574)</f>
        <v>1460454.28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27496.75</v>
      </c>
      <c r="G578" s="18"/>
      <c r="H578" s="18">
        <v>1455067.35</v>
      </c>
      <c r="I578" s="87">
        <f t="shared" si="47"/>
        <v>1482564.1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289913.89</v>
      </c>
      <c r="G581" s="18"/>
      <c r="H581" s="18">
        <v>384304.49</v>
      </c>
      <c r="I581" s="87">
        <f t="shared" si="47"/>
        <v>674218.38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175706.35</v>
      </c>
      <c r="I590" s="18"/>
      <c r="J590" s="18">
        <v>66831.53</v>
      </c>
      <c r="K590" s="104">
        <f t="shared" ref="K590:K596" si="48">SUM(H590:J590)</f>
        <v>242537.88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125802.3</v>
      </c>
      <c r="I591" s="18"/>
      <c r="J591" s="18">
        <v>196767</v>
      </c>
      <c r="K591" s="104">
        <f t="shared" si="48"/>
        <v>322569.3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1862.72</v>
      </c>
      <c r="I593" s="18"/>
      <c r="J593" s="18"/>
      <c r="K593" s="104">
        <f t="shared" si="48"/>
        <v>1862.72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2586.08</v>
      </c>
      <c r="I594" s="18"/>
      <c r="J594" s="18"/>
      <c r="K594" s="104">
        <f t="shared" si="48"/>
        <v>2586.08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305957.45</v>
      </c>
      <c r="I597" s="108">
        <f>SUM(I590:I596)</f>
        <v>0</v>
      </c>
      <c r="J597" s="108">
        <f>SUM(J590:J596)</f>
        <v>263598.53000000003</v>
      </c>
      <c r="K597" s="108">
        <f>SUM(K590:K596)</f>
        <v>569555.97999999986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23977.97</v>
      </c>
      <c r="I603" s="18"/>
      <c r="J603" s="18"/>
      <c r="K603" s="104">
        <f>SUM(H603:J603)</f>
        <v>23977.97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23977.97</v>
      </c>
      <c r="I604" s="108">
        <f>SUM(I601:I603)</f>
        <v>0</v>
      </c>
      <c r="J604" s="108">
        <f>SUM(J601:J603)</f>
        <v>0</v>
      </c>
      <c r="K604" s="108">
        <f>SUM(K601:K603)</f>
        <v>23977.97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929496.49</v>
      </c>
      <c r="H616" s="109">
        <f>SUM(F51)</f>
        <v>929496.49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89696.09</v>
      </c>
      <c r="H617" s="109">
        <f>SUM(G51)</f>
        <v>89696.09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342858.67</v>
      </c>
      <c r="H618" s="109">
        <f>SUM(H51)</f>
        <v>342858.67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181168.29</v>
      </c>
      <c r="H620" s="109">
        <f>SUM(J51)</f>
        <v>181168.29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574212.74</v>
      </c>
      <c r="H621" s="109">
        <f>F475</f>
        <v>574212.74000000022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87320.44</v>
      </c>
      <c r="H622" s="109">
        <f>G475</f>
        <v>87320.44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329749.88</v>
      </c>
      <c r="H623" s="109">
        <f>H475</f>
        <v>329749.88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181168.29</v>
      </c>
      <c r="H625" s="109">
        <f>J475</f>
        <v>181168.28999999998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9504790.7499999981</v>
      </c>
      <c r="H626" s="104">
        <f>SUM(F467)</f>
        <v>9504790.75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248977.53</v>
      </c>
      <c r="H627" s="104">
        <f>SUM(G467)</f>
        <v>248977.53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1000029.4599999998</v>
      </c>
      <c r="H628" s="104">
        <f>SUM(H467)</f>
        <v>1000029.46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22.4</v>
      </c>
      <c r="H630" s="104">
        <f>SUM(J467)</f>
        <v>22.4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9741590.8500000015</v>
      </c>
      <c r="H631" s="104">
        <f>SUM(F471)</f>
        <v>9741590.8499999996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807442.33</v>
      </c>
      <c r="H632" s="104">
        <f>SUM(H471)</f>
        <v>807442.33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113145.84</v>
      </c>
      <c r="H633" s="104">
        <f>I368</f>
        <v>113145.84000000001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247557.06</v>
      </c>
      <c r="H634" s="104">
        <f>SUM(G471)</f>
        <v>247557.06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22.4</v>
      </c>
      <c r="H636" s="164">
        <f>SUM(J467)</f>
        <v>22.4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34214.1</v>
      </c>
      <c r="H637" s="164">
        <f>SUM(J471)</f>
        <v>34214.1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181168.29</v>
      </c>
      <c r="H638" s="104">
        <f>SUM(F460)</f>
        <v>181168.29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181168.29</v>
      </c>
      <c r="H641" s="104">
        <f>SUM(I460)</f>
        <v>181168.29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22.4</v>
      </c>
      <c r="H643" s="104">
        <f>H407</f>
        <v>22.4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22.4</v>
      </c>
      <c r="H645" s="104">
        <f>L407</f>
        <v>22.4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569555.97999999986</v>
      </c>
      <c r="H646" s="104">
        <f>L207+L225+L243</f>
        <v>569555.98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23977.97</v>
      </c>
      <c r="H647" s="104">
        <f>(J256+J337)-(J254+J335)</f>
        <v>23977.97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305957.45</v>
      </c>
      <c r="H648" s="104">
        <f>H597</f>
        <v>305957.45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263598.53000000003</v>
      </c>
      <c r="H650" s="104">
        <f>J597</f>
        <v>263598.53000000003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6970733.5900000008</v>
      </c>
      <c r="G659" s="19">
        <f>(L228+L308+L358)</f>
        <v>0</v>
      </c>
      <c r="H659" s="19">
        <f>(L246+L327+L359)</f>
        <v>3563424.6500000004</v>
      </c>
      <c r="I659" s="19">
        <f>SUM(F659:H659)</f>
        <v>10534158.240000002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40578.68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40578.68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305957.45</v>
      </c>
      <c r="G661" s="19">
        <f>(L225+L305)-(J225+J305)</f>
        <v>0</v>
      </c>
      <c r="H661" s="19">
        <f>(L243+L324)-(J243+J324)</f>
        <v>263598.53000000003</v>
      </c>
      <c r="I661" s="19">
        <f>SUM(F661:H661)</f>
        <v>569555.98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341388.61</v>
      </c>
      <c r="G662" s="199">
        <f>SUM(G574:G586)+SUM(I601:I603)+L611</f>
        <v>0</v>
      </c>
      <c r="H662" s="199">
        <f>SUM(H574:H586)+SUM(J601:J603)+L612</f>
        <v>3299826.12</v>
      </c>
      <c r="I662" s="19">
        <f>SUM(F662:H662)</f>
        <v>3641214.73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6282808.8500000006</v>
      </c>
      <c r="G663" s="19">
        <f>G659-SUM(G660:G662)</f>
        <v>0</v>
      </c>
      <c r="H663" s="19">
        <f>H659-SUM(H660:H662)</f>
        <v>0</v>
      </c>
      <c r="I663" s="19">
        <f>I659-SUM(I660:I662)</f>
        <v>6282808.8500000024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451.16</v>
      </c>
      <c r="G664" s="248"/>
      <c r="H664" s="248"/>
      <c r="I664" s="19">
        <f>SUM(F664:H664)</f>
        <v>451.16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13925.9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13925.9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13925.9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13925.9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Winchester</v>
      </c>
      <c r="C1" s="238" t="s">
        <v>839</v>
      </c>
    </row>
    <row r="2" spans="1:3" x14ac:dyDescent="0.2">
      <c r="A2" s="233"/>
      <c r="B2" s="232"/>
    </row>
    <row r="3" spans="1:3" x14ac:dyDescent="0.2">
      <c r="A3" s="276" t="s">
        <v>784</v>
      </c>
      <c r="B3" s="276"/>
      <c r="C3" s="276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783</v>
      </c>
      <c r="C6" s="275"/>
    </row>
    <row r="7" spans="1:3" x14ac:dyDescent="0.2">
      <c r="A7" s="239" t="s">
        <v>786</v>
      </c>
      <c r="B7" s="273" t="s">
        <v>782</v>
      </c>
      <c r="C7" s="274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1517562.28</v>
      </c>
      <c r="C9" s="229">
        <f>'DOE25'!G196+'DOE25'!G214+'DOE25'!G232+'DOE25'!G275+'DOE25'!G294+'DOE25'!G313</f>
        <v>734534.08</v>
      </c>
    </row>
    <row r="10" spans="1:3" x14ac:dyDescent="0.2">
      <c r="A10" t="s">
        <v>779</v>
      </c>
      <c r="B10" s="240">
        <f>1163385.03+139551.38</f>
        <v>1302936.4100000001</v>
      </c>
      <c r="C10" s="240">
        <f>675141.93+34407.03</f>
        <v>709548.96000000008</v>
      </c>
    </row>
    <row r="11" spans="1:3" x14ac:dyDescent="0.2">
      <c r="A11" t="s">
        <v>780</v>
      </c>
      <c r="B11" s="240">
        <v>136565.39000000001</v>
      </c>
      <c r="C11" s="240">
        <v>10447.25</v>
      </c>
    </row>
    <row r="12" spans="1:3" x14ac:dyDescent="0.2">
      <c r="A12" t="s">
        <v>781</v>
      </c>
      <c r="B12" s="240">
        <f>39269.94+38790.54</f>
        <v>78060.48000000001</v>
      </c>
      <c r="C12" s="240">
        <f>3004.15+11533.72</f>
        <v>14537.869999999999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1517562.2800000003</v>
      </c>
      <c r="C13" s="231">
        <f>SUM(C10:C12)</f>
        <v>734534.08000000007</v>
      </c>
    </row>
    <row r="14" spans="1:3" x14ac:dyDescent="0.2">
      <c r="B14" s="230"/>
      <c r="C14" s="230"/>
    </row>
    <row r="15" spans="1:3" x14ac:dyDescent="0.2">
      <c r="B15" s="275" t="s">
        <v>783</v>
      </c>
      <c r="C15" s="275"/>
    </row>
    <row r="16" spans="1:3" x14ac:dyDescent="0.2">
      <c r="A16" s="239" t="s">
        <v>787</v>
      </c>
      <c r="B16" s="273" t="s">
        <v>707</v>
      </c>
      <c r="C16" s="274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943705.59</v>
      </c>
      <c r="C18" s="229">
        <f>'DOE25'!G197+'DOE25'!G215+'DOE25'!G233+'DOE25'!G276+'DOE25'!G295+'DOE25'!G314</f>
        <v>277322.77</v>
      </c>
    </row>
    <row r="19" spans="1:3" x14ac:dyDescent="0.2">
      <c r="A19" t="s">
        <v>779</v>
      </c>
      <c r="B19" s="240">
        <v>409023.71</v>
      </c>
      <c r="C19" s="240">
        <v>194400.83</v>
      </c>
    </row>
    <row r="20" spans="1:3" x14ac:dyDescent="0.2">
      <c r="A20" t="s">
        <v>780</v>
      </c>
      <c r="B20" s="240">
        <v>402159.56</v>
      </c>
      <c r="C20" s="240">
        <v>30765.200000000001</v>
      </c>
    </row>
    <row r="21" spans="1:3" x14ac:dyDescent="0.2">
      <c r="A21" t="s">
        <v>781</v>
      </c>
      <c r="B21" s="240">
        <f>89172.32+43350</f>
        <v>132522.32</v>
      </c>
      <c r="C21" s="240">
        <f>21208.61+30948.13</f>
        <v>52156.740000000005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943705.59000000008</v>
      </c>
      <c r="C22" s="231">
        <f>SUM(C19:C21)</f>
        <v>277322.77</v>
      </c>
    </row>
    <row r="23" spans="1:3" x14ac:dyDescent="0.2">
      <c r="B23" s="230"/>
      <c r="C23" s="230"/>
    </row>
    <row r="24" spans="1:3" x14ac:dyDescent="0.2">
      <c r="B24" s="275" t="s">
        <v>783</v>
      </c>
      <c r="C24" s="275"/>
    </row>
    <row r="25" spans="1:3" x14ac:dyDescent="0.2">
      <c r="A25" s="239" t="s">
        <v>788</v>
      </c>
      <c r="B25" s="273" t="s">
        <v>708</v>
      </c>
      <c r="C25" s="274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39" t="s">
        <v>789</v>
      </c>
      <c r="B34" s="273" t="s">
        <v>709</v>
      </c>
      <c r="C34" s="274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57804.86</v>
      </c>
      <c r="C36" s="235">
        <f>'DOE25'!G199+'DOE25'!G217+'DOE25'!G235+'DOE25'!G278+'DOE25'!G297+'DOE25'!G316</f>
        <v>4940.0700000000006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4312.5+53492.36</f>
        <v>57804.86</v>
      </c>
      <c r="C39" s="240">
        <f>499.31+4440.76</f>
        <v>4940.0700000000006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57804.86</v>
      </c>
      <c r="C40" s="231">
        <f>SUM(C37:C39)</f>
        <v>4940.0700000000006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3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5" t="str">
        <f>'DOE25'!A2</f>
        <v>Winchester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7091004.79</v>
      </c>
      <c r="D5" s="20">
        <f>SUM('DOE25'!L196:L199)+SUM('DOE25'!L214:L217)+SUM('DOE25'!L232:L235)-F5-G5</f>
        <v>7090487.6500000004</v>
      </c>
      <c r="E5" s="243"/>
      <c r="F5" s="255">
        <f>SUM('DOE25'!J196:J199)+SUM('DOE25'!J214:J217)+SUM('DOE25'!J232:J235)</f>
        <v>357.14</v>
      </c>
      <c r="G5" s="53">
        <f>SUM('DOE25'!K196:K199)+SUM('DOE25'!K214:K217)+SUM('DOE25'!K232:K235)</f>
        <v>160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403465.32999999996</v>
      </c>
      <c r="D6" s="20">
        <f>'DOE25'!L201+'DOE25'!L219+'DOE25'!L237-F6-G6</f>
        <v>403465.32999999996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95522.8</v>
      </c>
      <c r="D7" s="20">
        <f>'DOE25'!L202+'DOE25'!L220+'DOE25'!L238-F7-G7</f>
        <v>95522.8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13999.999999999956</v>
      </c>
      <c r="D8" s="243"/>
      <c r="E8" s="20">
        <f>'DOE25'!L203+'DOE25'!L221+'DOE25'!L239-F8-G8-D9-D11</f>
        <v>2285.8299999999581</v>
      </c>
      <c r="F8" s="255">
        <f>'DOE25'!J203+'DOE25'!J221+'DOE25'!J239</f>
        <v>1825.29</v>
      </c>
      <c r="G8" s="53">
        <f>'DOE25'!K203+'DOE25'!K221+'DOE25'!K239</f>
        <v>9888.8799999999992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20362.89</v>
      </c>
      <c r="D9" s="244">
        <v>20362.89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14249.9</v>
      </c>
      <c r="D10" s="243"/>
      <c r="E10" s="244">
        <v>14249.9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167100.94</v>
      </c>
      <c r="D11" s="244">
        <v>167100.94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314342.40000000002</v>
      </c>
      <c r="D12" s="20">
        <f>'DOE25'!L204+'DOE25'!L222+'DOE25'!L240-F12-G12</f>
        <v>313633.40000000002</v>
      </c>
      <c r="E12" s="243"/>
      <c r="F12" s="255">
        <f>'DOE25'!J204+'DOE25'!J222+'DOE25'!J240</f>
        <v>0</v>
      </c>
      <c r="G12" s="53">
        <f>'DOE25'!K204+'DOE25'!K222+'DOE25'!K240</f>
        <v>709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111474.65</v>
      </c>
      <c r="D13" s="243"/>
      <c r="E13" s="20">
        <f>'DOE25'!L205+'DOE25'!L223+'DOE25'!L241-F13-G13</f>
        <v>111474.65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561785.9</v>
      </c>
      <c r="D14" s="20">
        <f>'DOE25'!L206+'DOE25'!L224+'DOE25'!L242-F14-G14</f>
        <v>559408.51</v>
      </c>
      <c r="E14" s="243"/>
      <c r="F14" s="255">
        <f>'DOE25'!J206+'DOE25'!J224+'DOE25'!J242</f>
        <v>2377.39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569555.98</v>
      </c>
      <c r="D15" s="20">
        <f>'DOE25'!L207+'DOE25'!L225+'DOE25'!L243-F15-G15</f>
        <v>569555.98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130543.17</v>
      </c>
      <c r="D16" s="243"/>
      <c r="E16" s="20">
        <f>'DOE25'!L208+'DOE25'!L226+'DOE25'!L244-F16-G16</f>
        <v>127962.63</v>
      </c>
      <c r="F16" s="255">
        <f>'DOE25'!J208+'DOE25'!J226+'DOE25'!J244</f>
        <v>2580.54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262432</v>
      </c>
      <c r="D25" s="243"/>
      <c r="E25" s="243"/>
      <c r="F25" s="258"/>
      <c r="G25" s="256"/>
      <c r="H25" s="257">
        <f>'DOE25'!L259+'DOE25'!L260+'DOE25'!L340+'DOE25'!L341</f>
        <v>262432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140307.59999999998</v>
      </c>
      <c r="D29" s="20">
        <f>'DOE25'!L357+'DOE25'!L358+'DOE25'!L359-'DOE25'!I366-F29-G29</f>
        <v>125532.83999999998</v>
      </c>
      <c r="E29" s="243"/>
      <c r="F29" s="255">
        <f>'DOE25'!J357+'DOE25'!J358+'DOE25'!J359</f>
        <v>14349.51</v>
      </c>
      <c r="G29" s="53">
        <f>'DOE25'!K357+'DOE25'!K358+'DOE25'!K359</f>
        <v>425.25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807442.33</v>
      </c>
      <c r="D31" s="20">
        <f>'DOE25'!L289+'DOE25'!L308+'DOE25'!L327+'DOE25'!L332+'DOE25'!L333+'DOE25'!L334-F31-G31</f>
        <v>790604.72</v>
      </c>
      <c r="E31" s="243"/>
      <c r="F31" s="255">
        <f>'DOE25'!J289+'DOE25'!J308+'DOE25'!J327+'DOE25'!J332+'DOE25'!J333+'DOE25'!J334</f>
        <v>16837.61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10135675.060000002</v>
      </c>
      <c r="E33" s="246">
        <f>SUM(E5:E31)</f>
        <v>255973.00999999995</v>
      </c>
      <c r="F33" s="246">
        <f>SUM(F5:F31)</f>
        <v>38327.479999999996</v>
      </c>
      <c r="G33" s="246">
        <f>SUM(G5:G31)</f>
        <v>11183.13</v>
      </c>
      <c r="H33" s="246">
        <f>SUM(H5:H31)</f>
        <v>262432</v>
      </c>
    </row>
    <row r="35" spans="2:8" ht="12" thickBot="1" x14ac:dyDescent="0.25">
      <c r="B35" s="253" t="s">
        <v>847</v>
      </c>
      <c r="D35" s="254">
        <f>E33</f>
        <v>255973.00999999995</v>
      </c>
      <c r="E35" s="249"/>
    </row>
    <row r="36" spans="2:8" ht="12" thickTop="1" x14ac:dyDescent="0.2">
      <c r="B36" t="s">
        <v>815</v>
      </c>
      <c r="D36" s="20">
        <f>D33</f>
        <v>10135675.060000002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Winchester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512892.91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354278.35</v>
      </c>
      <c r="D11" s="95">
        <f>'DOE25'!G12</f>
        <v>55099.25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26886.01</v>
      </c>
      <c r="E12" s="95">
        <f>'DOE25'!H13</f>
        <v>342858.67</v>
      </c>
      <c r="F12" s="95">
        <f>'DOE25'!I13</f>
        <v>0</v>
      </c>
      <c r="G12" s="95">
        <f>'DOE25'!J13</f>
        <v>181168.29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62325.23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7710.83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929496.49</v>
      </c>
      <c r="D18" s="41">
        <f>SUM(D8:D17)</f>
        <v>89696.09</v>
      </c>
      <c r="E18" s="41">
        <f>SUM(E8:E17)</f>
        <v>342858.67</v>
      </c>
      <c r="F18" s="41">
        <f>SUM(F8:F17)</f>
        <v>0</v>
      </c>
      <c r="G18" s="41">
        <f>SUM(G8:G17)</f>
        <v>181168.29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355283.75</v>
      </c>
      <c r="D27" s="95">
        <f>'DOE25'!G28</f>
        <v>2375.65</v>
      </c>
      <c r="E27" s="95">
        <f>'DOE25'!H28</f>
        <v>13108.79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355283.75</v>
      </c>
      <c r="D31" s="41">
        <f>SUM(D21:D30)</f>
        <v>2375.65</v>
      </c>
      <c r="E31" s="41">
        <f>SUM(E21:E30)</f>
        <v>13108.79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87320.44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329749.88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355283.75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181168.29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218928.99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574212.74</v>
      </c>
      <c r="D49" s="41">
        <f>SUM(D34:D48)</f>
        <v>87320.44</v>
      </c>
      <c r="E49" s="41">
        <f>SUM(E34:E48)</f>
        <v>329749.88</v>
      </c>
      <c r="F49" s="41">
        <f>SUM(F34:F48)</f>
        <v>0</v>
      </c>
      <c r="G49" s="41">
        <f>SUM(G34:G48)</f>
        <v>181168.29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929496.49</v>
      </c>
      <c r="D50" s="41">
        <f>D49+D31</f>
        <v>89696.09</v>
      </c>
      <c r="E50" s="41">
        <f>E49+E31</f>
        <v>342858.67</v>
      </c>
      <c r="F50" s="41">
        <f>F49+F31</f>
        <v>0</v>
      </c>
      <c r="G50" s="41">
        <f>G49+G31</f>
        <v>181168.29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4239163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47936.67</v>
      </c>
      <c r="D56" s="24" t="s">
        <v>289</v>
      </c>
      <c r="E56" s="95">
        <f>'DOE25'!H78</f>
        <v>41016.980000000003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22.4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40428.68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147987.22</v>
      </c>
      <c r="D60" s="95">
        <f>SUM('DOE25'!G97:G109)</f>
        <v>150</v>
      </c>
      <c r="E60" s="95">
        <f>SUM('DOE25'!H97:H109)</f>
        <v>22308.15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195923.89</v>
      </c>
      <c r="D61" s="130">
        <f>SUM(D56:D60)</f>
        <v>40578.68</v>
      </c>
      <c r="E61" s="130">
        <f>SUM(E56:E60)</f>
        <v>63325.130000000005</v>
      </c>
      <c r="F61" s="130">
        <f>SUM(F56:F60)</f>
        <v>0</v>
      </c>
      <c r="G61" s="130">
        <f>SUM(G56:G60)</f>
        <v>22.4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4435086.8899999997</v>
      </c>
      <c r="D62" s="22">
        <f>D55+D61</f>
        <v>40578.68</v>
      </c>
      <c r="E62" s="22">
        <f>E55+E61</f>
        <v>63325.130000000005</v>
      </c>
      <c r="F62" s="22">
        <f>F55+F61</f>
        <v>0</v>
      </c>
      <c r="G62" s="22">
        <f>G55+G61</f>
        <v>22.4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4059076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653551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4712627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61928.17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138730.18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625.29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200658.34999999998</v>
      </c>
      <c r="D77" s="130">
        <f>SUM(D71:D76)</f>
        <v>625.29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4913285.3499999996</v>
      </c>
      <c r="D80" s="130">
        <f>SUM(D78:D79)+D77+D69</f>
        <v>625.29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170038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122204.41</v>
      </c>
      <c r="D87" s="95">
        <f>SUM('DOE25'!G152:G160)</f>
        <v>207773.56</v>
      </c>
      <c r="E87" s="95">
        <f>SUM('DOE25'!H152:H160)</f>
        <v>766666.32999999984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122204.41</v>
      </c>
      <c r="D90" s="131">
        <f>SUM(D84:D89)</f>
        <v>207773.56</v>
      </c>
      <c r="E90" s="131">
        <f>SUM(E84:E89)</f>
        <v>936704.32999999984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34214.1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34214.1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9504790.7499999981</v>
      </c>
      <c r="D103" s="86">
        <f>D62+D80+D90+D102</f>
        <v>248977.53</v>
      </c>
      <c r="E103" s="86">
        <f>E62+E80+E90+E102</f>
        <v>1000029.4599999998</v>
      </c>
      <c r="F103" s="86">
        <f>F62+F80+F90+F102</f>
        <v>0</v>
      </c>
      <c r="G103" s="86">
        <f>G62+G80+G102</f>
        <v>22.4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3524418.59</v>
      </c>
      <c r="D108" s="24" t="s">
        <v>289</v>
      </c>
      <c r="E108" s="95">
        <f>('DOE25'!L275)+('DOE25'!L294)+('DOE25'!L313)</f>
        <v>230534.36000000002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3560515.96</v>
      </c>
      <c r="D109" s="24" t="s">
        <v>289</v>
      </c>
      <c r="E109" s="95">
        <f>('DOE25'!L276)+('DOE25'!L295)+('DOE25'!L314)</f>
        <v>90645.63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6070.2400000000007</v>
      </c>
      <c r="D111" s="24" t="s">
        <v>289</v>
      </c>
      <c r="E111" s="95">
        <f>+('DOE25'!L278)+('DOE25'!L297)+('DOE25'!L316)</f>
        <v>129137.57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7091004.79</v>
      </c>
      <c r="D114" s="86">
        <f>SUM(D108:D113)</f>
        <v>0</v>
      </c>
      <c r="E114" s="86">
        <f>SUM(E108:E113)</f>
        <v>450317.56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403465.32999999996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95522.8</v>
      </c>
      <c r="D118" s="24" t="s">
        <v>289</v>
      </c>
      <c r="E118" s="95">
        <f>+('DOE25'!L281)+('DOE25'!L300)+('DOE25'!L319)</f>
        <v>356244.38999999996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201463.83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314342.40000000002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111474.65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561785.9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569555.98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130543.17</v>
      </c>
      <c r="D124" s="24" t="s">
        <v>289</v>
      </c>
      <c r="E124" s="95">
        <f>+('DOE25'!L287)+('DOE25'!L306)+('DOE25'!L325)</f>
        <v>880.38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247557.06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2388154.06</v>
      </c>
      <c r="D127" s="86">
        <f>SUM(D117:D126)</f>
        <v>247557.06</v>
      </c>
      <c r="E127" s="86">
        <f>SUM(E117:E126)</f>
        <v>357124.76999999996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175000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87432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34214.1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22.4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-22.4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262432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34214.1</v>
      </c>
    </row>
    <row r="144" spans="1:7" ht="12.75" thickTop="1" thickBot="1" x14ac:dyDescent="0.25">
      <c r="A144" s="33" t="s">
        <v>244</v>
      </c>
      <c r="C144" s="86">
        <f>(C114+C127+C143)</f>
        <v>9741590.8499999996</v>
      </c>
      <c r="D144" s="86">
        <f>(D114+D127+D143)</f>
        <v>247557.06</v>
      </c>
      <c r="E144" s="86">
        <f>(E114+E127+E143)</f>
        <v>807442.33</v>
      </c>
      <c r="F144" s="86">
        <f>(F114+F127+F143)</f>
        <v>0</v>
      </c>
      <c r="G144" s="86">
        <f>(G114+G127+G143)</f>
        <v>34214.1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08/03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3504725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2100000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2100000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175000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175000</v>
      </c>
    </row>
    <row r="158" spans="1:9" x14ac:dyDescent="0.2">
      <c r="A158" s="22" t="s">
        <v>35</v>
      </c>
      <c r="B158" s="137">
        <f>'DOE25'!F497</f>
        <v>1925000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1925000</v>
      </c>
    </row>
    <row r="159" spans="1:9" x14ac:dyDescent="0.2">
      <c r="A159" s="22" t="s">
        <v>36</v>
      </c>
      <c r="B159" s="137">
        <f>'DOE25'!F498</f>
        <v>485762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485762</v>
      </c>
    </row>
    <row r="160" spans="1:9" x14ac:dyDescent="0.2">
      <c r="A160" s="22" t="s">
        <v>37</v>
      </c>
      <c r="B160" s="137">
        <f>'DOE25'!F499</f>
        <v>2410762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2410762</v>
      </c>
    </row>
    <row r="161" spans="1:7" x14ac:dyDescent="0.2">
      <c r="A161" s="22" t="s">
        <v>38</v>
      </c>
      <c r="B161" s="137">
        <f>'DOE25'!F500</f>
        <v>175000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175000</v>
      </c>
    </row>
    <row r="162" spans="1:7" x14ac:dyDescent="0.2">
      <c r="A162" s="22" t="s">
        <v>39</v>
      </c>
      <c r="B162" s="137">
        <f>'DOE25'!F501</f>
        <v>78682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78682</v>
      </c>
    </row>
    <row r="163" spans="1:7" x14ac:dyDescent="0.2">
      <c r="A163" s="22" t="s">
        <v>246</v>
      </c>
      <c r="B163" s="137">
        <f>'DOE25'!F502</f>
        <v>253682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253682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>Winchester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13926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13926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3754953</v>
      </c>
      <c r="D10" s="182">
        <f>ROUND((C10/$C$28)*100,1)</f>
        <v>35.5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3651162</v>
      </c>
      <c r="D11" s="182">
        <f>ROUND((C11/$C$28)*100,1)</f>
        <v>34.5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135208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403465</v>
      </c>
      <c r="D15" s="182">
        <f t="shared" ref="D15:D27" si="0">ROUND((C15/$C$28)*100,1)</f>
        <v>3.8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451767</v>
      </c>
      <c r="D16" s="182">
        <f t="shared" si="0"/>
        <v>4.3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332887</v>
      </c>
      <c r="D17" s="182">
        <f t="shared" si="0"/>
        <v>3.1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314342</v>
      </c>
      <c r="D18" s="182">
        <f t="shared" si="0"/>
        <v>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111475</v>
      </c>
      <c r="D19" s="182">
        <f t="shared" si="0"/>
        <v>1.1000000000000001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561786</v>
      </c>
      <c r="D20" s="182">
        <f t="shared" si="0"/>
        <v>5.3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569556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87432</v>
      </c>
      <c r="D25" s="182">
        <f t="shared" si="0"/>
        <v>0.8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206978.32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10581011.32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10581011.32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175000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4239163</v>
      </c>
      <c r="D35" s="182">
        <f t="shared" ref="D35:D40" si="1">ROUND((C35/$C$41)*100,1)</f>
        <v>39.700000000000003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259271.41999999993</v>
      </c>
      <c r="D36" s="182">
        <f t="shared" si="1"/>
        <v>2.4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4712627</v>
      </c>
      <c r="D37" s="182">
        <f t="shared" si="1"/>
        <v>44.1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201284</v>
      </c>
      <c r="D38" s="182">
        <f t="shared" si="1"/>
        <v>1.9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1266682</v>
      </c>
      <c r="D39" s="182">
        <f t="shared" si="1"/>
        <v>11.9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10679027.42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:B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3"/>
      <c r="K1" s="213"/>
      <c r="L1" s="213"/>
      <c r="M1" s="214"/>
    </row>
    <row r="2" spans="1:26" ht="12.75" x14ac:dyDescent="0.2">
      <c r="A2" s="292" t="s">
        <v>767</v>
      </c>
      <c r="B2" s="293"/>
      <c r="C2" s="293"/>
      <c r="D2" s="293"/>
      <c r="E2" s="293"/>
      <c r="F2" s="290" t="str">
        <f>'DOE25'!A2</f>
        <v>Winchester</v>
      </c>
      <c r="G2" s="291"/>
      <c r="H2" s="291"/>
      <c r="I2" s="291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7"/>
      <c r="AO29" s="207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7"/>
      <c r="BB29" s="207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7"/>
      <c r="BO29" s="207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7"/>
      <c r="CB29" s="207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7"/>
      <c r="CO29" s="207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7"/>
      <c r="DB29" s="207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7"/>
      <c r="DO29" s="207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7"/>
      <c r="EB29" s="207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7"/>
      <c r="EO29" s="207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7"/>
      <c r="FB29" s="207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7"/>
      <c r="FO29" s="207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7"/>
      <c r="GB29" s="207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7"/>
      <c r="GO29" s="207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7"/>
      <c r="HB29" s="207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7"/>
      <c r="HO29" s="207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7"/>
      <c r="IB29" s="207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7"/>
      <c r="IO29" s="207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7"/>
      <c r="AO30" s="207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7"/>
      <c r="BB30" s="207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7"/>
      <c r="BO30" s="207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7"/>
      <c r="CB30" s="207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7"/>
      <c r="CO30" s="207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7"/>
      <c r="DB30" s="207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7"/>
      <c r="DO30" s="207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7"/>
      <c r="EB30" s="207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7"/>
      <c r="EO30" s="207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7"/>
      <c r="FB30" s="207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7"/>
      <c r="FO30" s="207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7"/>
      <c r="GB30" s="207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7"/>
      <c r="GO30" s="207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7"/>
      <c r="HB30" s="207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7"/>
      <c r="HO30" s="207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7"/>
      <c r="IB30" s="207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7"/>
      <c r="IO30" s="207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7"/>
      <c r="AO31" s="207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7"/>
      <c r="BB31" s="207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7"/>
      <c r="BO31" s="207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7"/>
      <c r="CB31" s="207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7"/>
      <c r="CO31" s="207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7"/>
      <c r="DB31" s="207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7"/>
      <c r="DO31" s="207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7"/>
      <c r="EB31" s="207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7"/>
      <c r="EO31" s="207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7"/>
      <c r="FB31" s="207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7"/>
      <c r="FO31" s="207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7"/>
      <c r="GB31" s="207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7"/>
      <c r="GO31" s="207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7"/>
      <c r="HB31" s="207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7"/>
      <c r="HO31" s="207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7"/>
      <c r="IB31" s="207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7"/>
      <c r="IO31" s="207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7"/>
      <c r="AO38" s="207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7"/>
      <c r="BB38" s="207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7"/>
      <c r="BO38" s="207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7"/>
      <c r="CB38" s="207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7"/>
      <c r="CO38" s="207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7"/>
      <c r="DB38" s="207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7"/>
      <c r="DO38" s="207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7"/>
      <c r="EB38" s="207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7"/>
      <c r="EO38" s="207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7"/>
      <c r="FB38" s="207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7"/>
      <c r="FO38" s="207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7"/>
      <c r="GB38" s="207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7"/>
      <c r="GO38" s="207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7"/>
      <c r="HB38" s="207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7"/>
      <c r="HO38" s="207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7"/>
      <c r="IB38" s="207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7"/>
      <c r="IO38" s="207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7"/>
      <c r="AO39" s="207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7"/>
      <c r="BB39" s="207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7"/>
      <c r="BO39" s="207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7"/>
      <c r="CB39" s="207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7"/>
      <c r="CO39" s="207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7"/>
      <c r="DB39" s="207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7"/>
      <c r="DO39" s="207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7"/>
      <c r="EB39" s="207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7"/>
      <c r="EO39" s="207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7"/>
      <c r="FB39" s="207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7"/>
      <c r="FO39" s="207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7"/>
      <c r="GB39" s="207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7"/>
      <c r="GO39" s="207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7"/>
      <c r="HB39" s="207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7"/>
      <c r="HO39" s="207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7"/>
      <c r="IB39" s="207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7"/>
      <c r="IO39" s="207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7"/>
      <c r="AO40" s="207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7"/>
      <c r="BB40" s="207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7"/>
      <c r="BO40" s="207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7"/>
      <c r="CB40" s="207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7"/>
      <c r="CO40" s="207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7"/>
      <c r="DB40" s="207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7"/>
      <c r="DO40" s="207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7"/>
      <c r="EB40" s="207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7"/>
      <c r="EO40" s="207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7"/>
      <c r="FB40" s="207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7"/>
      <c r="FO40" s="207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7"/>
      <c r="GB40" s="207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7"/>
      <c r="GO40" s="207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7"/>
      <c r="HB40" s="207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7"/>
      <c r="HO40" s="207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7"/>
      <c r="IB40" s="207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7"/>
      <c r="IO40" s="207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9" t="s">
        <v>848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1"/>
      <c r="B74" s="211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1"/>
      <c r="B75" s="211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1"/>
      <c r="B76" s="211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1"/>
      <c r="B77" s="211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1"/>
      <c r="B78" s="211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1"/>
      <c r="B79" s="211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1"/>
      <c r="B80" s="211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1"/>
      <c r="B81" s="211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1"/>
      <c r="B82" s="211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1"/>
      <c r="B83" s="211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1"/>
      <c r="B84" s="211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1"/>
      <c r="B85" s="211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1"/>
      <c r="B86" s="211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1"/>
      <c r="B87" s="211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1"/>
      <c r="B88" s="211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1"/>
      <c r="B89" s="211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1"/>
      <c r="B90" s="211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BB0A" sheet="1" objects="1" scenarios="1"/>
  <mergeCells count="223"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65:M65"/>
    <mergeCell ref="C56:M56"/>
    <mergeCell ref="C57:M57"/>
    <mergeCell ref="C59:M59"/>
    <mergeCell ref="C60:M60"/>
    <mergeCell ref="C58:M58"/>
    <mergeCell ref="C62:M62"/>
    <mergeCell ref="C61:M61"/>
    <mergeCell ref="C87:M87"/>
    <mergeCell ref="C76:M76"/>
    <mergeCell ref="C66:M66"/>
    <mergeCell ref="C70:M70"/>
    <mergeCell ref="A72:E72"/>
    <mergeCell ref="C73:M73"/>
    <mergeCell ref="C74:M74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AC32:A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21:M21"/>
    <mergeCell ref="C22:M22"/>
    <mergeCell ref="C23:M23"/>
    <mergeCell ref="C24:M24"/>
    <mergeCell ref="C29: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P30:GZ30"/>
    <mergeCell ref="FP29:FZ29"/>
    <mergeCell ref="GC29:GM29"/>
    <mergeCell ref="GP29:GZ29"/>
    <mergeCell ref="HC29:HM29"/>
    <mergeCell ref="HC30:HM30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BC31:BM31"/>
    <mergeCell ref="BC32:BM32"/>
    <mergeCell ref="BC39:BM39"/>
    <mergeCell ref="BP31:BZ31"/>
    <mergeCell ref="CC31:CM31"/>
    <mergeCell ref="AP32:AZ32"/>
    <mergeCell ref="CP31:CZ31"/>
    <mergeCell ref="FP32:FZ32"/>
    <mergeCell ref="GC32:GM32"/>
    <mergeCell ref="DC38:DM38"/>
    <mergeCell ref="DP38:DZ38"/>
    <mergeCell ref="EC38:EM38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BP32:B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GC30:GM30"/>
    <mergeCell ref="HP32:HZ32"/>
    <mergeCell ref="DC32:DM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C46:M46"/>
    <mergeCell ref="GC40:GM40"/>
    <mergeCell ref="GP40:GZ40"/>
    <mergeCell ref="HC40:HM40"/>
    <mergeCell ref="HP40:HZ40"/>
    <mergeCell ref="EC40:EM40"/>
    <mergeCell ref="AP40:AZ40"/>
    <mergeCell ref="CC40:CM40"/>
    <mergeCell ref="CP40:CZ40"/>
    <mergeCell ref="P40:Z40"/>
    <mergeCell ref="AC40:AM40"/>
    <mergeCell ref="C39:M39"/>
    <mergeCell ref="C40:M40"/>
    <mergeCell ref="IP40:IV40"/>
    <mergeCell ref="C45:M45"/>
    <mergeCell ref="DC40:DM40"/>
    <mergeCell ref="EP40:EZ40"/>
    <mergeCell ref="C44:M44"/>
    <mergeCell ref="DP40:DZ40"/>
    <mergeCell ref="IC40:IM40"/>
    <mergeCell ref="C43:M43"/>
    <mergeCell ref="BC40:BM40"/>
    <mergeCell ref="BP40:BZ40"/>
    <mergeCell ref="FC40:FM40"/>
    <mergeCell ref="FP40:F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2013-09-20T18:39:18Z</cp:lastPrinted>
  <dcterms:created xsi:type="dcterms:W3CDTF">1997-12-04T19:04:30Z</dcterms:created>
  <dcterms:modified xsi:type="dcterms:W3CDTF">2013-11-14T17:22:32Z</dcterms:modified>
</cp:coreProperties>
</file>