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1" i="12" l="1"/>
  <c r="C20" i="12"/>
  <c r="C19" i="12"/>
  <c r="C39" i="12"/>
  <c r="C12" i="12"/>
  <c r="C11" i="12"/>
  <c r="C10" i="12"/>
  <c r="F522" i="1"/>
  <c r="F520" i="1"/>
  <c r="G501" i="1"/>
  <c r="G498" i="1"/>
  <c r="G497" i="1"/>
  <c r="F501" i="1"/>
  <c r="F498" i="1"/>
  <c r="F497" i="1"/>
  <c r="F10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C119" i="2" s="1"/>
  <c r="D39" i="13"/>
  <c r="F13" i="13"/>
  <c r="G13" i="13"/>
  <c r="L205" i="1"/>
  <c r="L223" i="1"/>
  <c r="L241" i="1"/>
  <c r="F16" i="13"/>
  <c r="G16" i="13"/>
  <c r="E16" i="13" s="1"/>
  <c r="C16" i="13" s="1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C108" i="2" s="1"/>
  <c r="L233" i="1"/>
  <c r="C109" i="2" s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10" i="1" s="1"/>
  <c r="L222" i="1"/>
  <c r="L240" i="1"/>
  <c r="F14" i="13"/>
  <c r="G14" i="13"/>
  <c r="L206" i="1"/>
  <c r="L224" i="1"/>
  <c r="L242" i="1"/>
  <c r="C122" i="2" s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D126" i="2" s="1"/>
  <c r="D127" i="2" s="1"/>
  <c r="I366" i="1"/>
  <c r="J289" i="1"/>
  <c r="J308" i="1"/>
  <c r="J327" i="1"/>
  <c r="K289" i="1"/>
  <c r="K308" i="1"/>
  <c r="K327" i="1"/>
  <c r="L275" i="1"/>
  <c r="L289" i="1" s="1"/>
  <c r="L276" i="1"/>
  <c r="L277" i="1"/>
  <c r="L278" i="1"/>
  <c r="L280" i="1"/>
  <c r="L281" i="1"/>
  <c r="L282" i="1"/>
  <c r="L283" i="1"/>
  <c r="L284" i="1"/>
  <c r="L285" i="1"/>
  <c r="E122" i="2" s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L316" i="1"/>
  <c r="E111" i="2" s="1"/>
  <c r="L318" i="1"/>
  <c r="L319" i="1"/>
  <c r="C16" i="10" s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25" i="10" s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2" i="1" s="1"/>
  <c r="C137" i="2" s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5" i="10"/>
  <c r="C19" i="10"/>
  <c r="C20" i="10"/>
  <c r="L249" i="1"/>
  <c r="L331" i="1"/>
  <c r="C23" i="10" s="1"/>
  <c r="L253" i="1"/>
  <c r="L267" i="1"/>
  <c r="L268" i="1"/>
  <c r="L348" i="1"/>
  <c r="L349" i="1"/>
  <c r="I664" i="1"/>
  <c r="I669" i="1"/>
  <c r="L228" i="1"/>
  <c r="F660" i="1"/>
  <c r="G660" i="1"/>
  <c r="H660" i="1"/>
  <c r="G661" i="1"/>
  <c r="I668" i="1"/>
  <c r="C42" i="10"/>
  <c r="C32" i="10"/>
  <c r="L373" i="1"/>
  <c r="F129" i="2" s="1"/>
  <c r="L374" i="1"/>
  <c r="L375" i="1"/>
  <c r="L376" i="1"/>
  <c r="L377" i="1"/>
  <c r="L378" i="1"/>
  <c r="L379" i="1"/>
  <c r="B2" i="10"/>
  <c r="L343" i="1"/>
  <c r="E133" i="2" s="1"/>
  <c r="E14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J551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C31" i="2" s="1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E31" i="2" s="1"/>
  <c r="E50" i="2" s="1"/>
  <c r="F23" i="2"/>
  <c r="F31" i="2" s="1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6" i="2"/>
  <c r="E56" i="2"/>
  <c r="E61" i="2" s="1"/>
  <c r="E62" i="2" s="1"/>
  <c r="C57" i="2"/>
  <c r="E57" i="2"/>
  <c r="C58" i="2"/>
  <c r="D58" i="2"/>
  <c r="E58" i="2"/>
  <c r="F58" i="2"/>
  <c r="D59" i="2"/>
  <c r="C60" i="2"/>
  <c r="C61" i="2" s="1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E77" i="2" s="1"/>
  <c r="E80" i="2" s="1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0" i="2"/>
  <c r="E110" i="2"/>
  <c r="C112" i="2"/>
  <c r="E112" i="2"/>
  <c r="C113" i="2"/>
  <c r="E113" i="2"/>
  <c r="D114" i="2"/>
  <c r="F114" i="2"/>
  <c r="G114" i="2"/>
  <c r="C117" i="2"/>
  <c r="E117" i="2"/>
  <c r="E119" i="2"/>
  <c r="E120" i="2"/>
  <c r="C121" i="2"/>
  <c r="E121" i="2"/>
  <c r="E123" i="2"/>
  <c r="C124" i="2"/>
  <c r="E124" i="2"/>
  <c r="F127" i="2"/>
  <c r="G127" i="2"/>
  <c r="E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G161" i="2" s="1"/>
  <c r="D161" i="2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G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F191" i="1" s="1"/>
  <c r="G187" i="1"/>
  <c r="H187" i="1"/>
  <c r="I187" i="1"/>
  <c r="F210" i="1"/>
  <c r="G210" i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G337" i="1" s="1"/>
  <c r="G351" i="1" s="1"/>
  <c r="H327" i="1"/>
  <c r="H337" i="1" s="1"/>
  <c r="H351" i="1" s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J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F451" i="1"/>
  <c r="G451" i="1"/>
  <c r="H451" i="1"/>
  <c r="I451" i="1"/>
  <c r="F459" i="1"/>
  <c r="G459" i="1"/>
  <c r="G460" i="1" s="1"/>
  <c r="H639" i="1" s="1"/>
  <c r="J639" i="1" s="1"/>
  <c r="H459" i="1"/>
  <c r="F460" i="1"/>
  <c r="H638" i="1" s="1"/>
  <c r="H460" i="1"/>
  <c r="F469" i="1"/>
  <c r="G469" i="1"/>
  <c r="H469" i="1"/>
  <c r="I469" i="1"/>
  <c r="J469" i="1"/>
  <c r="F473" i="1"/>
  <c r="G473" i="1"/>
  <c r="H473" i="1"/>
  <c r="I473" i="1"/>
  <c r="I475" i="1" s="1"/>
  <c r="H624" i="1" s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G544" i="1" s="1"/>
  <c r="H523" i="1"/>
  <c r="I523" i="1"/>
  <c r="I544" i="1" s="1"/>
  <c r="J523" i="1"/>
  <c r="J544" i="1" s="1"/>
  <c r="K523" i="1"/>
  <c r="F528" i="1"/>
  <c r="G528" i="1"/>
  <c r="H528" i="1"/>
  <c r="I528" i="1"/>
  <c r="J528" i="1"/>
  <c r="K528" i="1"/>
  <c r="K544" i="1" s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F570" i="1" s="1"/>
  <c r="G564" i="1"/>
  <c r="H564" i="1"/>
  <c r="I564" i="1"/>
  <c r="I570" i="1" s="1"/>
  <c r="J564" i="1"/>
  <c r="K564" i="1"/>
  <c r="K570" i="1" s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G640" i="1"/>
  <c r="H640" i="1"/>
  <c r="G642" i="1"/>
  <c r="H642" i="1"/>
  <c r="G643" i="1"/>
  <c r="G644" i="1"/>
  <c r="H644" i="1"/>
  <c r="G649" i="1"/>
  <c r="G650" i="1"/>
  <c r="G651" i="1"/>
  <c r="H651" i="1"/>
  <c r="G652" i="1"/>
  <c r="H652" i="1"/>
  <c r="G653" i="1"/>
  <c r="H653" i="1"/>
  <c r="H654" i="1"/>
  <c r="K256" i="1"/>
  <c r="G256" i="1"/>
  <c r="G270" i="1" s="1"/>
  <c r="G159" i="2"/>
  <c r="C18" i="2"/>
  <c r="C26" i="10"/>
  <c r="L350" i="1"/>
  <c r="A31" i="12"/>
  <c r="C69" i="2"/>
  <c r="A40" i="12"/>
  <c r="D61" i="2"/>
  <c r="D62" i="2" s="1"/>
  <c r="E49" i="2"/>
  <c r="D18" i="13"/>
  <c r="C18" i="13" s="1"/>
  <c r="F102" i="2"/>
  <c r="D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G156" i="2"/>
  <c r="F49" i="2"/>
  <c r="F18" i="2"/>
  <c r="G160" i="2"/>
  <c r="G155" i="2"/>
  <c r="G102" i="2"/>
  <c r="E102" i="2"/>
  <c r="C102" i="2"/>
  <c r="F90" i="2"/>
  <c r="D19" i="13"/>
  <c r="C19" i="13" s="1"/>
  <c r="D14" i="13"/>
  <c r="C14" i="13" s="1"/>
  <c r="E13" i="13"/>
  <c r="C13" i="13" s="1"/>
  <c r="L426" i="1"/>
  <c r="H111" i="1"/>
  <c r="J640" i="1"/>
  <c r="J570" i="1"/>
  <c r="L432" i="1"/>
  <c r="L418" i="1"/>
  <c r="D80" i="2"/>
  <c r="I168" i="1"/>
  <c r="H168" i="1"/>
  <c r="J642" i="1"/>
  <c r="J475" i="1"/>
  <c r="H625" i="1" s="1"/>
  <c r="H475" i="1"/>
  <c r="H623" i="1" s="1"/>
  <c r="G475" i="1"/>
  <c r="H622" i="1" s="1"/>
  <c r="F168" i="1"/>
  <c r="J139" i="1"/>
  <c r="I551" i="1"/>
  <c r="K549" i="1"/>
  <c r="G22" i="2"/>
  <c r="K597" i="1"/>
  <c r="G646" i="1" s="1"/>
  <c r="H551" i="1"/>
  <c r="L400" i="1"/>
  <c r="C138" i="2" s="1"/>
  <c r="F22" i="13"/>
  <c r="C22" i="13" s="1"/>
  <c r="H570" i="1"/>
  <c r="L559" i="1"/>
  <c r="G191" i="1"/>
  <c r="H191" i="1"/>
  <c r="L308" i="1"/>
  <c r="C49" i="2"/>
  <c r="J654" i="1"/>
  <c r="J644" i="1"/>
  <c r="L569" i="1"/>
  <c r="G36" i="2"/>
  <c r="K550" i="1" l="1"/>
  <c r="K502" i="1"/>
  <c r="G157" i="2"/>
  <c r="I459" i="1"/>
  <c r="I460" i="1" s="1"/>
  <c r="H641" i="1" s="1"/>
  <c r="J638" i="1"/>
  <c r="I445" i="1"/>
  <c r="G641" i="1" s="1"/>
  <c r="A13" i="12"/>
  <c r="L528" i="1"/>
  <c r="L381" i="1"/>
  <c r="G635" i="1" s="1"/>
  <c r="J635" i="1" s="1"/>
  <c r="C29" i="10"/>
  <c r="K351" i="1"/>
  <c r="C131" i="2"/>
  <c r="K270" i="1"/>
  <c r="H25" i="13"/>
  <c r="H646" i="1"/>
  <c r="G648" i="1"/>
  <c r="J650" i="1"/>
  <c r="D29" i="13"/>
  <c r="C29" i="13" s="1"/>
  <c r="J633" i="1"/>
  <c r="C118" i="2"/>
  <c r="J624" i="1"/>
  <c r="F50" i="2"/>
  <c r="J648" i="1"/>
  <c r="L543" i="1"/>
  <c r="H544" i="1"/>
  <c r="F551" i="1"/>
  <c r="E118" i="2"/>
  <c r="E127" i="2" s="1"/>
  <c r="C129" i="2"/>
  <c r="H256" i="1"/>
  <c r="H270" i="1" s="1"/>
  <c r="J646" i="1"/>
  <c r="G623" i="1"/>
  <c r="J623" i="1" s="1"/>
  <c r="L564" i="1"/>
  <c r="L570" i="1" s="1"/>
  <c r="K548" i="1"/>
  <c r="K551" i="1" s="1"/>
  <c r="D12" i="13"/>
  <c r="C12" i="13" s="1"/>
  <c r="G622" i="1"/>
  <c r="J622" i="1" s="1"/>
  <c r="L523" i="1"/>
  <c r="L544" i="1" s="1"/>
  <c r="F475" i="1"/>
  <c r="H621" i="1" s="1"/>
  <c r="J621" i="1" s="1"/>
  <c r="I660" i="1"/>
  <c r="D144" i="2"/>
  <c r="C13" i="10"/>
  <c r="L327" i="1"/>
  <c r="E108" i="2"/>
  <c r="E114" i="2" s="1"/>
  <c r="F337" i="1"/>
  <c r="F351" i="1" s="1"/>
  <c r="C21" i="10"/>
  <c r="D15" i="13"/>
  <c r="C15" i="13" s="1"/>
  <c r="C18" i="10"/>
  <c r="C17" i="10"/>
  <c r="E33" i="13"/>
  <c r="D35" i="13" s="1"/>
  <c r="D7" i="13"/>
  <c r="C7" i="13" s="1"/>
  <c r="L246" i="1"/>
  <c r="L256" i="1" s="1"/>
  <c r="L270" i="1" s="1"/>
  <c r="G631" i="1" s="1"/>
  <c r="J631" i="1" s="1"/>
  <c r="C11" i="10"/>
  <c r="F256" i="1"/>
  <c r="F270" i="1" s="1"/>
  <c r="C10" i="10"/>
  <c r="D5" i="13"/>
  <c r="C5" i="13" s="1"/>
  <c r="C123" i="2"/>
  <c r="F661" i="1"/>
  <c r="I661" i="1" s="1"/>
  <c r="C120" i="2"/>
  <c r="C111" i="2"/>
  <c r="F659" i="1"/>
  <c r="F663" i="1" s="1"/>
  <c r="F671" i="1" s="1"/>
  <c r="C4" i="10" s="1"/>
  <c r="C114" i="2"/>
  <c r="C77" i="2"/>
  <c r="C80" i="2" s="1"/>
  <c r="C103" i="2" s="1"/>
  <c r="C62" i="2"/>
  <c r="C35" i="10"/>
  <c r="F111" i="1"/>
  <c r="C50" i="2"/>
  <c r="F51" i="1"/>
  <c r="H616" i="1" s="1"/>
  <c r="J616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J651" i="1"/>
  <c r="G570" i="1"/>
  <c r="I433" i="1"/>
  <c r="G433" i="1"/>
  <c r="I662" i="1"/>
  <c r="C27" i="10"/>
  <c r="G634" i="1"/>
  <c r="J634" i="1" s="1"/>
  <c r="J641" i="1" l="1"/>
  <c r="C25" i="13"/>
  <c r="H33" i="13"/>
  <c r="H659" i="1"/>
  <c r="H663" i="1" s="1"/>
  <c r="H666" i="1" s="1"/>
  <c r="C127" i="2"/>
  <c r="C144" i="2" s="1"/>
  <c r="E144" i="2"/>
  <c r="D31" i="13"/>
  <c r="C31" i="13" s="1"/>
  <c r="L337" i="1"/>
  <c r="L351" i="1" s="1"/>
  <c r="G632" i="1" s="1"/>
  <c r="J632" i="1" s="1"/>
  <c r="G671" i="1"/>
  <c r="C5" i="10" s="1"/>
  <c r="C28" i="10"/>
  <c r="D19" i="10" s="1"/>
  <c r="F666" i="1"/>
  <c r="C36" i="10"/>
  <c r="F192" i="1"/>
  <c r="G626" i="1" s="1"/>
  <c r="J626" i="1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H671" i="1" l="1"/>
  <c r="C6" i="10" s="1"/>
  <c r="I659" i="1"/>
  <c r="I663" i="1" s="1"/>
  <c r="I671" i="1" s="1"/>
  <c r="C7" i="10" s="1"/>
  <c r="D23" i="10"/>
  <c r="D27" i="10"/>
  <c r="D10" i="10"/>
  <c r="D20" i="10"/>
  <c r="D13" i="10"/>
  <c r="D18" i="10"/>
  <c r="C30" i="10"/>
  <c r="D26" i="10"/>
  <c r="D22" i="10"/>
  <c r="D15" i="10"/>
  <c r="D11" i="10"/>
  <c r="D17" i="10"/>
  <c r="D24" i="10"/>
  <c r="D25" i="10"/>
  <c r="D21" i="10"/>
  <c r="D12" i="10"/>
  <c r="D16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<sst xmlns="http://schemas.openxmlformats.org/spreadsheetml/2006/main" count="3949" uniqueCount="915">
  <si>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</si>
  <si>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</si>
  <si>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</si>
  <si>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</si>
  <si>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</si>
  <si>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</si>
  <si>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</si>
  <si>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</si>
  <si>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</si>
  <si>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</si>
  <si>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</si>
  <si>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</si>
  <si>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</si>
  <si>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</si>
  <si>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</si>
  <si>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</si>
  <si>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</si>
  <si>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</si>
  <si>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</si>
  <si>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</si>
  <si>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</si>
  <si>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</si>
  <si>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</si>
  <si>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</si>
  <si>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</si>
  <si>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</si>
  <si>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</si>
  <si>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</si>
  <si>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</si>
  <si>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</si>
  <si>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</si>
  <si>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</si>
  <si>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</si>
  <si>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</si>
  <si>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</si>
  <si>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</si>
  <si>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</si>
  <si>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</si>
  <si>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</si>
  <si>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</si>
  <si>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</si>
  <si>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</si>
  <si>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</si>
  <si>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</si>
  <si>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</si>
  <si>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</si>
  <si>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</si>
  <si>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</si>
  <si>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</si>
  <si>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</si>
  <si>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</si>
  <si>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</si>
  <si>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</si>
  <si>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</si>
  <si>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</si>
  <si>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</si>
  <si>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</si>
  <si>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</si>
  <si>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</si>
  <si>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</si>
  <si>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</si>
  <si>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</si>
  <si>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</si>
  <si>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</si>
  <si>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</si>
  <si>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</si>
  <si>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</si>
  <si>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</si>
  <si>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</si>
  <si>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</si>
  <si>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</si>
  <si>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</si>
  <si>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</si>
  <si>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</si>
  <si>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</si>
  <si>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</si>
  <si>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</si>
  <si>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</si>
  <si>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</si>
  <si>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</si>
  <si>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</si>
  <si>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</si>
  <si>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</si>
  <si>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</si>
  <si>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</si>
  <si>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</si>
  <si>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</si>
  <si>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</si>
  <si>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</si>
  <si>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</si>
  <si>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</si>
  <si>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</si>
  <si>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</si>
  <si>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</si>
  <si>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</si>
  <si>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</si>
  <si>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</si>
  <si>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</si>
  <si>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</si>
  <si>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</si>
  <si>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</si>
  <si>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</si>
  <si>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</si>
  <si>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</si>
  <si>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</si>
  <si>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</si>
  <si>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</si>
  <si>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</si>
  <si>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</si>
  <si>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</si>
  <si>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</si>
  <si>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</si>
  <si>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</si>
  <si>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</si>
  <si>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</si>
  <si>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</si>
  <si>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</si>
  <si>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</si>
  <si>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</si>
  <si>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</si>
  <si>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</si>
  <si>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</si>
  <si>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</si>
  <si>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</si>
  <si>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</si>
  <si>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</si>
  <si>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</si>
  <si>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</si>
  <si>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</si>
  <si>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</si>
  <si>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</si>
  <si>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</si>
  <si>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</si>
  <si>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</si>
  <si>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</si>
  <si>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</si>
  <si>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</si>
  <si>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</si>
  <si>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</si>
  <si>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</si>
  <si>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</si>
  <si>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</si>
  <si>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</si>
  <si>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</si>
  <si>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</si>
  <si>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</si>
  <si>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</si>
  <si>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</si>
  <si>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</si>
  <si>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</si>
  <si>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</si>
  <si>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</si>
  <si>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</si>
  <si>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</si>
  <si>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</si>
  <si>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</si>
  <si>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</si>
  <si>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</si>
  <si>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</si>
  <si>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</si>
  <si>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</si>
  <si>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</si>
  <si>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</si>
  <si>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</si>
  <si>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</si>
  <si>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</si>
  <si>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</si>
  <si>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</si>
  <si>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</si>
  <si>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</si>
  <si>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</si>
  <si>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</si>
  <si>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</si>
  <si>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</si>
  <si>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</si>
  <si>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</si>
  <si>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</si>
  <si>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</si>
  <si>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</si>
  <si>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</si>
  <si>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</si>
  <si>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</si>
  <si>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</si>
  <si>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</si>
  <si>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</si>
  <si>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</si>
  <si>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</si>
  <si>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</si>
  <si>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</si>
  <si>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</si>
  <si>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</si>
  <si>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</si>
  <si>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</si>
  <si>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</si>
  <si>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</si>
  <si>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</si>
  <si>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</si>
  <si>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</si>
  <si>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</si>
  <si>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</si>
  <si>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</si>
  <si>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</si>
  <si>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</si>
  <si>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</si>
  <si>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</si>
  <si>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</si>
  <si>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</si>
  <si>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</si>
  <si>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</si>
  <si>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</si>
  <si>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</si>
  <si>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</si>
  <si>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</si>
  <si>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</si>
  <si>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</si>
  <si>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</si>
  <si>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</si>
  <si>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</si>
  <si>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</si>
  <si>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</si>
  <si>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</si>
  <si>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</si>
  <si>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</si>
  <si>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</si>
  <si>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</si>
  <si>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</si>
  <si>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</si>
  <si>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</si>
  <si>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</si>
  <si>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</si>
  <si>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</si>
  <si>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</si>
  <si>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</si>
  <si>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</si>
  <si>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</si>
  <si>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</si>
  <si>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</si>
  <si>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</si>
  <si>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</si>
  <si>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</si>
  <si>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</si>
  <si>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</si>
  <si>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</si>
  <si>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</si>
  <si>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</si>
  <si>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</si>
  <si>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</si>
  <si>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</si>
  <si>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</si>
  <si>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</si>
  <si>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</si>
  <si>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</si>
  <si>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</si>
  <si>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</si>
  <si>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</si>
  <si>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</si>
  <si>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</si>
  <si>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</si>
  <si>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</si>
  <si>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</si>
  <si>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</si>
  <si>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</si>
  <si>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</si>
  <si>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</si>
  <si>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</si>
  <si>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</si>
  <si>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</si>
  <si>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</si>
  <si>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</si>
  <si>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</si>
  <si>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</si>
  <si>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</si>
  <si>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</si>
  <si>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</si>
  <si>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</si>
  <si>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</si>
  <si>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</si>
  <si>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</si>
  <si>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</si>
  <si>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</si>
  <si>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</si>
  <si>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</si>
  <si>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</si>
  <si>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</si>
  <si>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</si>
  <si>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</si>
  <si>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</si>
  <si>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</si>
  <si>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</si>
  <si>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</si>
  <si>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</si>
  <si>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</si>
  <si>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</si>
  <si>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</si>
  <si>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</si>
  <si>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</si>
  <si>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</si>
  <si>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</si>
  <si>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</si>
  <si>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</si>
  <si>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</si>
  <si>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</si>
  <si>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</si>
  <si>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</si>
  <si>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</si>
  <si>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</si>
  <si>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</si>
  <si>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</si>
  <si>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</si>
  <si>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</si>
  <si>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</si>
  <si>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</si>
  <si>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</si>
  <si>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</si>
  <si>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</si>
  <si>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</si>
  <si>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</si>
  <si>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</si>
  <si>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</si>
  <si>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</si>
  <si>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</si>
  <si>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</si>
  <si>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</si>
  <si>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</si>
  <si>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</si>
  <si>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</si>
  <si>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</si>
  <si>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</si>
  <si>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</si>
  <si>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</si>
  <si>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</si>
  <si>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</si>
  <si>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</si>
  <si>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</si>
  <si>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</si>
  <si>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</si>
  <si>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</si>
  <si>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</si>
  <si>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</si>
  <si>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</si>
  <si>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</si>
  <si>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</si>
  <si>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</si>
  <si>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</si>
  <si>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</si>
  <si>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</si>
  <si>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</si>
  <si>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</si>
  <si>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</si>
  <si>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</si>
  <si>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</si>
  <si>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</si>
  <si>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</si>
  <si>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</si>
  <si>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</si>
  <si>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</si>
  <si>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</si>
  <si>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</si>
  <si>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</si>
  <si>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</si>
  <si>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</si>
  <si>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</si>
  <si>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</si>
  <si>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</si>
  <si>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</si>
  <si>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</si>
  <si>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</si>
  <si>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</si>
  <si>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</si>
  <si>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</si>
  <si>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</si>
  <si>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</si>
  <si>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</si>
  <si>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</si>
  <si>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</si>
  <si>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</si>
  <si>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</si>
  <si>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</si>
  <si>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</si>
  <si>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</si>
  <si>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</si>
  <si>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</si>
  <si>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</si>
  <si>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</si>
  <si>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</si>
  <si>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</si>
  <si>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</si>
  <si>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</si>
  <si>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</si>
  <si>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</si>
  <si>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</si>
  <si>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</si>
  <si>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</si>
  <si>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</si>
  <si>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</si>
  <si>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</si>
  <si>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</si>
  <si>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</si>
  <si>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</si>
  <si>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</si>
  <si>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</si>
  <si>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</si>
  <si>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</si>
  <si>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</si>
  <si>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</si>
  <si>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</si>
  <si>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</si>
  <si>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</si>
  <si>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</si>
  <si>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</si>
  <si>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</si>
  <si>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</si>
  <si>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</si>
  <si>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</si>
  <si>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</si>
  <si>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</si>
  <si>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</si>
  <si>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</si>
  <si>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</si>
  <si>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</si>
  <si>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</si>
  <si>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</si>
  <si>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</si>
  <si>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</si>
  <si>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</si>
  <si>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</si>
  <si>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</si>
  <si>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</si>
  <si>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</si>
  <si>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</si>
  <si>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</si>
  <si>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</si>
  <si>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</si>
  <si>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</si>
  <si>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</si>
  <si>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</si>
  <si>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</si>
  <si>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</si>
  <si>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</si>
  <si>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</si>
  <si>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</si>
  <si>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</si>
  <si>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</si>
  <si>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</si>
  <si>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</si>
  <si>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</si>
  <si>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</si>
  <si>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</si>
  <si>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</si>
  <si>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</si>
  <si>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</si>
  <si>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</si>
  <si>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</si>
  <si>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</si>
  <si>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</si>
  <si>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</si>
  <si>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</si>
  <si>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</si>
  <si>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</si>
  <si>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</si>
  <si>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</si>
  <si>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</si>
  <si>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</si>
  <si>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</si>
  <si>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</si>
  <si>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</si>
  <si>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</si>
  <si>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</si>
  <si>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</si>
  <si>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</si>
  <si>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</si>
  <si>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</si>
  <si>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</si>
  <si>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</si>
  <si>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</si>
  <si>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</si>
  <si>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</si>
  <si>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</si>
  <si>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</si>
  <si>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</si>
  <si>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</si>
  <si>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</si>
  <si>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</si>
  <si>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</si>
  <si>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</si>
  <si>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</si>
  <si>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</si>
  <si>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</si>
  <si>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</si>
  <si>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</si>
  <si>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</si>
  <si>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</si>
  <si>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</si>
  <si>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</si>
  <si>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</si>
  <si>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</si>
  <si>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</si>
  <si>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</si>
  <si>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</si>
  <si>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</si>
  <si>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</si>
  <si>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</si>
  <si>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</si>
  <si>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</si>
  <si>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</si>
  <si>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</si>
  <si>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</si>
  <si>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</si>
  <si>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</si>
  <si>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</si>
  <si>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</si>
  <si>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</si>
  <si>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</si>
  <si>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</si>
  <si>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</si>
  <si>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</si>
  <si>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</si>
  <si>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</si>
  <si>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</si>
  <si>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</si>
  <si>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</si>
  <si>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</si>
  <si>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</si>
  <si>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</si>
  <si>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</si>
  <si>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</si>
  <si>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</si>
  <si>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</si>
  <si>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</si>
  <si>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</si>
  <si>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</si>
  <si>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</si>
  <si>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</si>
  <si>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</si>
  <si>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</si>
  <si>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</si>
  <si>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</si>
  <si>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</si>
  <si>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</si>
  <si>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</si>
  <si>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</si>
  <si>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</si>
  <si>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</si>
  <si>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</si>
  <si>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</si>
  <si>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</si>
  <si>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</si>
  <si>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</si>
  <si>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</si>
  <si>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</si>
  <si>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</si>
  <si>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</si>
  <si>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</si>
  <si>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</si>
  <si>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</si>
  <si>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</si>
  <si>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</si>
  <si>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</si>
  <si>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</si>
  <si>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</si>
  <si>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</si>
  <si>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</si>
  <si>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</si>
  <si>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</si>
  <si>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</si>
  <si>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</si>
  <si>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</si>
  <si>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</si>
  <si>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</si>
  <si>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</si>
  <si>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</si>
  <si>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</si>
  <si>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</si>
  <si>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</si>
  <si>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</si>
  <si>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</si>
  <si>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</si>
  <si>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</si>
  <si>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</si>
  <si>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</si>
  <si>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</si>
  <si>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</si>
  <si>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</si>
  <si>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</si>
  <si>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</si>
  <si>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</si>
  <si>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</si>
  <si>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</si>
  <si>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</si>
  <si>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</si>
  <si>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</si>
  <si>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</si>
  <si>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</si>
  <si>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</si>
  <si>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</si>
  <si>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</si>
  <si>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</si>
  <si>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</si>
  <si>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</si>
  <si>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</si>
  <si>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</si>
  <si>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</si>
  <si>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</si>
  <si>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</si>
  <si>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</si>
  <si>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</si>
  <si>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</si>
  <si>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</si>
  <si>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</si>
  <si>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</si>
  <si>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</si>
  <si>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</si>
  <si>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</si>
  <si>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</si>
  <si>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</si>
  <si>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</si>
  <si>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</si>
  <si>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</si>
  <si>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</si>
  <si>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</si>
  <si>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</si>
  <si>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</si>
  <si>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</si>
  <si>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</si>
  <si>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</si>
  <si>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</si>
  <si>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</si>
  <si>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</si>
  <si>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</si>
  <si>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</si>
  <si>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</si>
  <si>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</si>
  <si>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</si>
  <si>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</si>
  <si>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</si>
  <si>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</si>
  <si>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</si>
  <si>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</si>
  <si>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</si>
  <si>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</si>
  <si>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</si>
  <si>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</si>
  <si>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</si>
  <si>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</si>
  <si>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</si>
  <si>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</si>
  <si>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</si>
  <si>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</si>
  <si>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</si>
  <si>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</si>
  <si>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</si>
  <si>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</si>
  <si>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</si>
  <si>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</si>
  <si>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</si>
  <si>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</si>
  <si>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</si>
  <si>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</si>
  <si>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</si>
  <si>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</si>
  <si>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</si>
  <si>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</si>
  <si>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</si>
  <si>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</si>
  <si>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</si>
  <si>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</si>
  <si>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</si>
  <si>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</si>
  <si>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</si>
  <si>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</si>
  <si>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</si>
  <si>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</si>
  <si>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</si>
  <si>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</si>
  <si>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</si>
  <si>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</si>
  <si>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</si>
  <si>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</si>
  <si>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</si>
  <si>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</si>
  <si>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</si>
  <si>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</si>
  <si>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</si>
  <si>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</si>
  <si>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</si>
  <si>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</si>
  <si>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</si>
  <si>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</si>
  <si>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</si>
  <si>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</si>
  <si>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</si>
  <si>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</si>
  <si>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</si>
  <si>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</si>
  <si>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</si>
  <si>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</si>
  <si>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</si>
  <si>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</si>
  <si>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</si>
  <si>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</si>
  <si>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</si>
  <si>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</si>
  <si>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</si>
  <si>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</si>
  <si>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</si>
  <si>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</si>
  <si>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</si>
  <si>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</si>
  <si>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</si>
  <si>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</si>
  <si>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</si>
  <si>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</si>
  <si>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</si>
  <si>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</si>
  <si>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</si>
  <si>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</si>
  <si>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</si>
  <si>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</si>
  <si>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</si>
  <si>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</si>
  <si>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</si>
  <si>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</si>
  <si>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</si>
  <si>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</si>
  <si>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</si>
  <si>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</si>
  <si>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</si>
  <si>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</si>
  <si>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</si>
  <si>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</si>
  <si>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</si>
  <si>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</si>
  <si>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</si>
  <si>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</si>
  <si>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</si>
  <si>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</si>
  <si>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</si>
  <si>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</si>
  <si>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</si>
  <si>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</si>
  <si>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</si>
  <si>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</si>
  <si>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</si>
  <si>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</si>
  <si>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</si>
  <si>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</si>
  <si>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</si>
  <si>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</si>
  <si>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</si>
  <si>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</si>
  <si>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</si>
  <si>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</si>
  <si>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</si>
  <si>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</si>
  <si>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</si>
  <si>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</si>
  <si>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</si>
  <si>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</si>
  <si>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</si>
  <si>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</si>
  <si>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</si>
  <si>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</si>
  <si>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</si>
  <si>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</si>
  <si>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</si>
  <si>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</si>
  <si>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</si>
  <si>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</si>
  <si>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</si>
  <si>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</si>
  <si>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</si>
  <si>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</si>
  <si>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</si>
  <si>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</si>
  <si>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</si>
  <si>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</si>
  <si>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</si>
  <si>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</si>
  <si>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</si>
  <si>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</si>
  <si>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</si>
  <si>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</si>
  <si>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</si>
  <si>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</si>
  <si>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</si>
  <si>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</si>
  <si>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</si>
  <si>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</si>
  <si>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</si>
  <si>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</si>
  <si>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</si>
  <si>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</si>
  <si>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</si>
  <si>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</si>
  <si>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</si>
  <si>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</si>
  <si>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</si>
  <si>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</si>
  <si>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</si>
  <si>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</si>
  <si>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</si>
  <si>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</si>
  <si>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</si>
  <si>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</si>
  <si>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</si>
  <si>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</si>
  <si>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</si>
  <si>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</si>
  <si>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</si>
  <si>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</si>
  <si>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</si>
  <si>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</si>
  <si>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</si>
  <si>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</si>
  <si>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</si>
  <si>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</si>
  <si>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</si>
  <si>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</si>
  <si>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</si>
  <si>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</si>
  <si>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</si>
  <si>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</si>
  <si>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</si>
  <si>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</si>
  <si>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</si>
  <si>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</si>
  <si>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</si>
  <si>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</si>
  <si>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</si>
  <si>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</si>
  <si>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</si>
  <si>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</si>
  <si>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</si>
  <si>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</si>
  <si>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</si>
  <si>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</si>
  <si>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</si>
  <si>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</si>
  <si>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</si>
  <si>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</si>
  <si>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</si>
  <si>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</si>
  <si>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</si>
  <si>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</si>
  <si>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</si>
  <si>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</si>
  <si>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</si>
  <si>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</si>
  <si>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</si>
  <si>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</si>
  <si>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</si>
  <si>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</si>
  <si>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</si>
  <si>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</si>
  <si>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</si>
  <si>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</si>
  <si>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</si>
  <si>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</si>
  <si>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</si>
  <si>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</si>
  <si>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</si>
  <si>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</si>
  <si>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</si>
  <si>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</si>
  <si>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</si>
  <si>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</si>
  <si>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</si>
  <si>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</si>
  <si>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</si>
  <si>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</si>
  <si>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</si>
  <si>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</si>
  <si>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</si>
  <si>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</si>
  <si>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</si>
  <si>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</si>
  <si>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</si>
  <si>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</si>
  <si>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</si>
  <si>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</si>
  <si>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</si>
  <si>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</si>
  <si>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</si>
  <si>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</si>
  <si>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</si>
  <si>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</si>
  <si>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</si>
  <si>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</si>
  <si>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</si>
  <si>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</si>
  <si>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</si>
  <si>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</si>
  <si>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</si>
  <si>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</si>
  <si>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</si>
  <si>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</si>
  <si>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</si>
  <si>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</si>
  <si>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</si>
  <si>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</si>
  <si>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</si>
  <si>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</si>
  <si>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</si>
  <si>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</si>
  <si>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</si>
  <si>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</si>
  <si>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</si>
  <si>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</si>
  <si>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</si>
  <si>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06/05</t>
  </si>
  <si>
    <t>07/25</t>
  </si>
  <si>
    <t>06/08</t>
  </si>
  <si>
    <t>06/18</t>
  </si>
  <si>
    <t xml:space="preserve">USDA commodities included in Federal Child Nutrition Revenue </t>
  </si>
  <si>
    <t>Windham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</si>
</sst>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575</v>
      </c>
      <c r="C2" s="21">
        <v>575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1162265.02</v>
      </c>
      <c r="G9" s="18"/>
      <c r="H9" s="18"/>
      <c r="I9" s="18"/>
      <c r="J9" s="67">
        <f>SUM(I438)</f>
        <v>215490.16999999998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121998.67</v>
      </c>
      <c r="H12" s="18"/>
      <c r="I12" s="18">
        <v>127321.45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43478.11</v>
      </c>
      <c r="G13" s="18">
        <v>8525.94</v>
      </c>
      <c r="H13" s="18">
        <v>177126.15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7750.57</v>
      </c>
      <c r="G14" s="18">
        <v>2160</v>
      </c>
      <c r="H14" s="18">
        <v>325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19835.28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v>879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1213493.7000000002</v>
      </c>
      <c r="G19" s="41">
        <f>SUM(G9:G18)</f>
        <v>152519.88999999998</v>
      </c>
      <c r="H19" s="41">
        <f>SUM(H9:H18)</f>
        <v>178330.15</v>
      </c>
      <c r="I19" s="41">
        <f>SUM(I9:I18)</f>
        <v>127321.45</v>
      </c>
      <c r="J19" s="41">
        <f>SUM(J9:J18)</f>
        <v>215490.16999999998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189736.31</v>
      </c>
      <c r="G22" s="18"/>
      <c r="H22" s="18">
        <v>59583.8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413.15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34817.050000000003</v>
      </c>
      <c r="G24" s="18"/>
      <c r="H24" s="18">
        <v>1321</v>
      </c>
      <c r="I24" s="18">
        <v>330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5000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9142.92</v>
      </c>
      <c r="G30" s="18">
        <v>31439.19</v>
      </c>
      <c r="H30" s="18">
        <v>75215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234109.43000000002</v>
      </c>
      <c r="G32" s="41">
        <f>SUM(G22:G31)</f>
        <v>31439.19</v>
      </c>
      <c r="H32" s="41">
        <f>SUM(H22:H31)</f>
        <v>136119.79999999999</v>
      </c>
      <c r="I32" s="41">
        <f>SUM(I22:I31)</f>
        <v>5330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19835.28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101245.42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42210.35</v>
      </c>
      <c r="I47" s="18">
        <v>9669.02</v>
      </c>
      <c r="J47" s="13">
        <f>SUM(I458)</f>
        <v>215490.16999999998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397624.49</v>
      </c>
      <c r="G48" s="18"/>
      <c r="H48" s="18"/>
      <c r="I48" s="18">
        <v>112322.43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581759.78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979384.27</v>
      </c>
      <c r="G50" s="41">
        <f>SUM(G35:G49)</f>
        <v>121080.7</v>
      </c>
      <c r="H50" s="41">
        <f>SUM(H35:H49)</f>
        <v>42210.35</v>
      </c>
      <c r="I50" s="41">
        <f>SUM(I35:I49)</f>
        <v>121991.45</v>
      </c>
      <c r="J50" s="41">
        <f>SUM(J35:J49)</f>
        <v>215490.16999999998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1213493.7</v>
      </c>
      <c r="G51" s="41">
        <f>G50+G32</f>
        <v>152519.88999999998</v>
      </c>
      <c r="H51" s="41">
        <f>H50+H32</f>
        <v>178330.15</v>
      </c>
      <c r="I51" s="41">
        <f>I50+I32</f>
        <v>127321.45</v>
      </c>
      <c r="J51" s="41">
        <f>J50+J32</f>
        <v>215490.16999999998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32417117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32417117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v>96372.2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96372.2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1378.63</v>
      </c>
      <c r="G95" s="18"/>
      <c r="H95" s="18"/>
      <c r="I95" s="18"/>
      <c r="J95" s="18">
        <v>57.31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719059.97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15000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88848.68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79122.25-1378.63</f>
        <v>77743.62</v>
      </c>
      <c r="G109" s="18"/>
      <c r="H109" s="18">
        <v>33638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182970.93</v>
      </c>
      <c r="G110" s="41">
        <f>SUM(G95:G109)</f>
        <v>719059.97</v>
      </c>
      <c r="H110" s="41">
        <f>SUM(H95:H109)</f>
        <v>33638</v>
      </c>
      <c r="I110" s="41">
        <f>SUM(I95:I109)</f>
        <v>0</v>
      </c>
      <c r="J110" s="41">
        <f>SUM(J95:J109)</f>
        <v>57.31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32600087.93</v>
      </c>
      <c r="G111" s="41">
        <f>G59+G110</f>
        <v>719059.97</v>
      </c>
      <c r="H111" s="41">
        <f>H59+H78+H93+H110</f>
        <v>130010.2</v>
      </c>
      <c r="I111" s="41">
        <f>I59+I110</f>
        <v>0</v>
      </c>
      <c r="J111" s="41">
        <f>J59+J110</f>
        <v>57.31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2393584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4979627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7373211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962986.4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298425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444358.84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4444.6000000000004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10054.370000000001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1856</v>
      </c>
      <c r="G134" s="18"/>
      <c r="H134" s="18">
        <v>9585.06</v>
      </c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1712070.84</v>
      </c>
      <c r="G135" s="41">
        <f>SUM(G122:G134)</f>
        <v>10054.370000000001</v>
      </c>
      <c r="H135" s="41">
        <f>SUM(H122:H134)</f>
        <v>9585.06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9085281.8399999999</v>
      </c>
      <c r="G139" s="41">
        <f>G120+SUM(G135:G136)</f>
        <v>10054.370000000001</v>
      </c>
      <c r="H139" s="41">
        <f>H120+SUM(H135:H138)</f>
        <v>9585.06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54366.02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59606.86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159767.85999999999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561790.57999999996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114884.89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114884.89</v>
      </c>
      <c r="G161" s="41">
        <f>SUM(G149:G160)</f>
        <v>159767.85999999999</v>
      </c>
      <c r="H161" s="41">
        <f>SUM(H149:H160)</f>
        <v>675763.46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114884.89</v>
      </c>
      <c r="G168" s="41">
        <f>G146+G161+SUM(G162:G167)</f>
        <v>159767.85999999999</v>
      </c>
      <c r="H168" s="41">
        <f>H146+H161+SUM(H162:H167)</f>
        <v>675763.46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4520.26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4520.26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1.94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1.94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4522.2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41804776.859999999</v>
      </c>
      <c r="G192" s="47">
        <f>G111+G139+G168+G191</f>
        <v>888882.2</v>
      </c>
      <c r="H192" s="47">
        <f>H111+H139+H168+H191</f>
        <v>815358.72</v>
      </c>
      <c r="I192" s="47">
        <f>I111+I139+I168+I191</f>
        <v>0</v>
      </c>
      <c r="J192" s="47">
        <f>J111+J139+J191</f>
        <v>57.31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7316263.0300000003</v>
      </c>
      <c r="G196" s="18">
        <v>3313963.33</v>
      </c>
      <c r="H196" s="18">
        <v>22208.43</v>
      </c>
      <c r="I196" s="18">
        <v>424286.97</v>
      </c>
      <c r="J196" s="18">
        <v>103630.46</v>
      </c>
      <c r="K196" s="18">
        <v>8704.2900000000009</v>
      </c>
      <c r="L196" s="19">
        <f>SUM(F196:K196)</f>
        <v>11189056.51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2516197.35</v>
      </c>
      <c r="G197" s="18">
        <v>1137284.8899999999</v>
      </c>
      <c r="H197" s="18">
        <v>1043399.74</v>
      </c>
      <c r="I197" s="18">
        <v>29836.98</v>
      </c>
      <c r="J197" s="18">
        <v>33561.71</v>
      </c>
      <c r="K197" s="18">
        <v>11567.14</v>
      </c>
      <c r="L197" s="19">
        <f>SUM(F197:K197)</f>
        <v>4771847.8100000005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189398.93</v>
      </c>
      <c r="G199" s="18">
        <v>87209.56</v>
      </c>
      <c r="H199" s="18">
        <v>9370</v>
      </c>
      <c r="I199" s="18">
        <v>14815.74</v>
      </c>
      <c r="J199" s="18">
        <v>0</v>
      </c>
      <c r="K199" s="18">
        <v>0</v>
      </c>
      <c r="L199" s="19">
        <f>SUM(F199:K199)</f>
        <v>300794.23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1440473.18</v>
      </c>
      <c r="G201" s="18">
        <v>697835.63</v>
      </c>
      <c r="H201" s="18">
        <v>173301.35</v>
      </c>
      <c r="I201" s="18">
        <v>52605.71</v>
      </c>
      <c r="J201" s="18">
        <v>24912.720000000001</v>
      </c>
      <c r="K201" s="18">
        <v>8635.24</v>
      </c>
      <c r="L201" s="19">
        <f t="shared" ref="L201:L207" si="0">SUM(F201:K201)</f>
        <v>2397763.8300000005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525517.04</v>
      </c>
      <c r="G202" s="18">
        <v>348989.65</v>
      </c>
      <c r="H202" s="18">
        <v>97064.87</v>
      </c>
      <c r="I202" s="18">
        <v>78039.520000000004</v>
      </c>
      <c r="J202" s="18">
        <v>118065.48</v>
      </c>
      <c r="K202" s="18">
        <v>93225</v>
      </c>
      <c r="L202" s="19">
        <f t="shared" si="0"/>
        <v>1260901.56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9617.75</v>
      </c>
      <c r="G203" s="18"/>
      <c r="H203" s="18">
        <v>698794.36</v>
      </c>
      <c r="I203" s="18">
        <v>5948.68</v>
      </c>
      <c r="J203" s="18">
        <v>0</v>
      </c>
      <c r="K203" s="18">
        <v>14341.53</v>
      </c>
      <c r="L203" s="19">
        <f t="shared" si="0"/>
        <v>728702.32000000007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709491.07</v>
      </c>
      <c r="G204" s="18">
        <v>348838.25</v>
      </c>
      <c r="H204" s="18">
        <v>33056.99</v>
      </c>
      <c r="I204" s="18">
        <v>25288.799999999999</v>
      </c>
      <c r="J204" s="18">
        <v>35524</v>
      </c>
      <c r="K204" s="18">
        <v>12173.2</v>
      </c>
      <c r="L204" s="19">
        <f t="shared" si="0"/>
        <v>1164372.3099999998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642494.79</v>
      </c>
      <c r="G206" s="18">
        <v>261628.68</v>
      </c>
      <c r="H206" s="18">
        <v>801355.66</v>
      </c>
      <c r="I206" s="18">
        <v>473767.76</v>
      </c>
      <c r="J206" s="18">
        <v>65140.959999999999</v>
      </c>
      <c r="K206" s="18">
        <v>0</v>
      </c>
      <c r="L206" s="19">
        <f t="shared" si="0"/>
        <v>2244387.8499999996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/>
      <c r="H207" s="18">
        <v>1353416.16</v>
      </c>
      <c r="I207" s="18">
        <v>136154.69</v>
      </c>
      <c r="J207" s="18">
        <v>0</v>
      </c>
      <c r="K207" s="18">
        <v>0</v>
      </c>
      <c r="L207" s="19">
        <f t="shared" si="0"/>
        <v>1489570.8499999999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57239.3</v>
      </c>
      <c r="I208" s="18"/>
      <c r="J208" s="18"/>
      <c r="K208" s="18">
        <v>1058.5</v>
      </c>
      <c r="L208" s="19">
        <f>SUM(F208:K208)</f>
        <v>58297.8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13349453.140000001</v>
      </c>
      <c r="G210" s="41">
        <f t="shared" si="1"/>
        <v>6195749.9899999993</v>
      </c>
      <c r="H210" s="41">
        <f t="shared" si="1"/>
        <v>4289206.8599999994</v>
      </c>
      <c r="I210" s="41">
        <f t="shared" si="1"/>
        <v>1240744.8500000001</v>
      </c>
      <c r="J210" s="41">
        <f t="shared" si="1"/>
        <v>380835.33</v>
      </c>
      <c r="K210" s="41">
        <f t="shared" si="1"/>
        <v>149704.90000000002</v>
      </c>
      <c r="L210" s="41">
        <f t="shared" si="1"/>
        <v>25605695.070000004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3170718.54</v>
      </c>
      <c r="G232" s="18">
        <v>1482562.54</v>
      </c>
      <c r="H232" s="18">
        <v>54697.34</v>
      </c>
      <c r="I232" s="18">
        <v>248813.65</v>
      </c>
      <c r="J232" s="18">
        <v>74439.839999999997</v>
      </c>
      <c r="K232" s="18">
        <v>26610.36</v>
      </c>
      <c r="L232" s="19">
        <f>SUM(F232:K232)</f>
        <v>5057842.2700000005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901943.89</v>
      </c>
      <c r="G233" s="18">
        <v>437364.74</v>
      </c>
      <c r="H233" s="18">
        <v>393015.53</v>
      </c>
      <c r="I233" s="18">
        <v>16621.78</v>
      </c>
      <c r="J233" s="18">
        <v>11250.46</v>
      </c>
      <c r="K233" s="18">
        <v>4925.09</v>
      </c>
      <c r="L233" s="19">
        <f>SUM(F233:K233)</f>
        <v>1765121.49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331614.25</v>
      </c>
      <c r="G235" s="18">
        <v>174419.12</v>
      </c>
      <c r="H235" s="18">
        <v>53648.79</v>
      </c>
      <c r="I235" s="18">
        <v>38678.44</v>
      </c>
      <c r="J235" s="18">
        <v>35362.480000000003</v>
      </c>
      <c r="K235" s="18">
        <v>63732.91</v>
      </c>
      <c r="L235" s="19">
        <f>SUM(F235:K235)</f>
        <v>697455.99000000011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542465.03</v>
      </c>
      <c r="G237" s="18">
        <v>261687.54</v>
      </c>
      <c r="H237" s="18">
        <v>66047.759999999995</v>
      </c>
      <c r="I237" s="18">
        <v>19790.439999999999</v>
      </c>
      <c r="J237" s="18">
        <v>3354.76</v>
      </c>
      <c r="K237" s="18">
        <v>702.6</v>
      </c>
      <c r="L237" s="19">
        <f t="shared" ref="L237:L243" si="4">SUM(F237:K237)</f>
        <v>894048.13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334051.5</v>
      </c>
      <c r="G238" s="18">
        <v>119521.15</v>
      </c>
      <c r="H238" s="18">
        <v>69716.009999999995</v>
      </c>
      <c r="I238" s="18">
        <v>29922.51</v>
      </c>
      <c r="J238" s="18">
        <v>179041.34</v>
      </c>
      <c r="K238" s="18">
        <v>36111.910000000003</v>
      </c>
      <c r="L238" s="19">
        <f t="shared" si="4"/>
        <v>768364.42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3557.25</v>
      </c>
      <c r="G239" s="18"/>
      <c r="H239" s="18">
        <v>258458.19</v>
      </c>
      <c r="I239" s="18">
        <v>2200.1999999999998</v>
      </c>
      <c r="J239" s="18">
        <v>0</v>
      </c>
      <c r="K239" s="18">
        <v>5304.4</v>
      </c>
      <c r="L239" s="19">
        <f t="shared" si="4"/>
        <v>269520.04000000004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278581.03000000003</v>
      </c>
      <c r="G240" s="18">
        <v>87209.56</v>
      </c>
      <c r="H240" s="18">
        <v>5434.25</v>
      </c>
      <c r="I240" s="18">
        <v>5816.47</v>
      </c>
      <c r="J240" s="18">
        <v>25467.37</v>
      </c>
      <c r="K240" s="18">
        <v>18787.98</v>
      </c>
      <c r="L240" s="19">
        <f t="shared" si="4"/>
        <v>421296.66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233933.14</v>
      </c>
      <c r="G242" s="18">
        <v>87209.56</v>
      </c>
      <c r="H242" s="18">
        <v>345131</v>
      </c>
      <c r="I242" s="18">
        <v>408311.08</v>
      </c>
      <c r="J242" s="18">
        <v>17912.54</v>
      </c>
      <c r="K242" s="18">
        <v>0</v>
      </c>
      <c r="L242" s="19">
        <f t="shared" si="4"/>
        <v>1092497.32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/>
      <c r="H243" s="18">
        <v>647654.56999999995</v>
      </c>
      <c r="I243" s="18">
        <v>50358.59</v>
      </c>
      <c r="J243" s="18">
        <v>0</v>
      </c>
      <c r="K243" s="18">
        <v>0</v>
      </c>
      <c r="L243" s="19">
        <f t="shared" si="4"/>
        <v>698013.15999999992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21170.7</v>
      </c>
      <c r="I244" s="18"/>
      <c r="J244" s="18"/>
      <c r="K244" s="18">
        <v>391.5</v>
      </c>
      <c r="L244" s="19">
        <f>SUM(F244:K244)</f>
        <v>21562.2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5796864.6299999999</v>
      </c>
      <c r="G246" s="41">
        <f t="shared" si="5"/>
        <v>2649974.21</v>
      </c>
      <c r="H246" s="41">
        <f t="shared" si="5"/>
        <v>1914974.14</v>
      </c>
      <c r="I246" s="41">
        <f t="shared" si="5"/>
        <v>820513.16</v>
      </c>
      <c r="J246" s="41">
        <f t="shared" si="5"/>
        <v>346828.79</v>
      </c>
      <c r="K246" s="41">
        <f t="shared" si="5"/>
        <v>156566.75</v>
      </c>
      <c r="L246" s="41">
        <f t="shared" si="5"/>
        <v>11685721.68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124710.08</v>
      </c>
      <c r="I254" s="18"/>
      <c r="J254" s="18"/>
      <c r="K254" s="18"/>
      <c r="L254" s="19">
        <f t="shared" si="6"/>
        <v>124710.08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124710.08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124710.08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19146317.77</v>
      </c>
      <c r="G256" s="41">
        <f t="shared" si="8"/>
        <v>8845724.1999999993</v>
      </c>
      <c r="H256" s="41">
        <f t="shared" si="8"/>
        <v>6328891.0799999991</v>
      </c>
      <c r="I256" s="41">
        <f t="shared" si="8"/>
        <v>2061258.0100000002</v>
      </c>
      <c r="J256" s="41">
        <f t="shared" si="8"/>
        <v>727664.12</v>
      </c>
      <c r="K256" s="41">
        <f t="shared" si="8"/>
        <v>306271.65000000002</v>
      </c>
      <c r="L256" s="41">
        <f t="shared" si="8"/>
        <v>37416126.829999998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2955000</v>
      </c>
      <c r="L259" s="19">
        <f>SUM(F259:K259)</f>
        <v>2955000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1148162.5</v>
      </c>
      <c r="L260" s="19">
        <f>SUM(F260:K260)</f>
        <v>1148162.5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4103162.5</v>
      </c>
      <c r="L269" s="41">
        <f t="shared" si="9"/>
        <v>4103162.5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19146317.77</v>
      </c>
      <c r="G270" s="42">
        <f t="shared" si="11"/>
        <v>8845724.1999999993</v>
      </c>
      <c r="H270" s="42">
        <f t="shared" si="11"/>
        <v>6328891.0799999991</v>
      </c>
      <c r="I270" s="42">
        <f t="shared" si="11"/>
        <v>2061258.0100000002</v>
      </c>
      <c r="J270" s="42">
        <f t="shared" si="11"/>
        <v>727664.12</v>
      </c>
      <c r="K270" s="42">
        <f t="shared" si="11"/>
        <v>4409434.1500000004</v>
      </c>
      <c r="L270" s="42">
        <f t="shared" si="11"/>
        <v>41519289.329999998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77292.61</v>
      </c>
      <c r="G275" s="18">
        <v>25210.01</v>
      </c>
      <c r="H275" s="18">
        <v>27481.14</v>
      </c>
      <c r="I275" s="18">
        <v>4004.76</v>
      </c>
      <c r="J275" s="18"/>
      <c r="K275" s="18"/>
      <c r="L275" s="19">
        <f>SUM(F275:K275)</f>
        <v>133988.51999999999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243234.24</v>
      </c>
      <c r="G276" s="18">
        <v>108622.34</v>
      </c>
      <c r="H276" s="18">
        <v>10898.61</v>
      </c>
      <c r="I276" s="18">
        <v>3509.31</v>
      </c>
      <c r="J276" s="18">
        <v>1747.62</v>
      </c>
      <c r="K276" s="18"/>
      <c r="L276" s="19">
        <f>SUM(F276:K276)</f>
        <v>368012.11999999994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46321.85</v>
      </c>
      <c r="G278" s="18">
        <v>7025.38</v>
      </c>
      <c r="H278" s="18"/>
      <c r="I278" s="18">
        <v>5923.19</v>
      </c>
      <c r="J278" s="18"/>
      <c r="K278" s="18"/>
      <c r="L278" s="19">
        <f>SUM(F278:K278)</f>
        <v>59270.42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9734.99</v>
      </c>
      <c r="I281" s="18"/>
      <c r="J281" s="18"/>
      <c r="K281" s="18"/>
      <c r="L281" s="19">
        <f t="shared" si="12"/>
        <v>9734.99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1669.88</v>
      </c>
      <c r="G285" s="18">
        <v>274.69</v>
      </c>
      <c r="H285" s="18"/>
      <c r="I285" s="18">
        <v>5052.53</v>
      </c>
      <c r="J285" s="18"/>
      <c r="K285" s="18"/>
      <c r="L285" s="19">
        <f t="shared" si="12"/>
        <v>6997.1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368518.57999999996</v>
      </c>
      <c r="G289" s="42">
        <f t="shared" si="13"/>
        <v>141132.42000000001</v>
      </c>
      <c r="H289" s="42">
        <f t="shared" si="13"/>
        <v>48114.74</v>
      </c>
      <c r="I289" s="42">
        <f t="shared" si="13"/>
        <v>18489.789999999997</v>
      </c>
      <c r="J289" s="42">
        <f t="shared" si="13"/>
        <v>1747.62</v>
      </c>
      <c r="K289" s="42">
        <f t="shared" si="13"/>
        <v>0</v>
      </c>
      <c r="L289" s="41">
        <f t="shared" si="13"/>
        <v>578003.14999999991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13772.79</v>
      </c>
      <c r="G313" s="18">
        <v>8062.92</v>
      </c>
      <c r="H313" s="18">
        <v>10164.26</v>
      </c>
      <c r="I313" s="18">
        <v>1050.06</v>
      </c>
      <c r="J313" s="18"/>
      <c r="K313" s="18"/>
      <c r="L313" s="19">
        <f>SUM(F313:K313)</f>
        <v>33050.03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84827.08</v>
      </c>
      <c r="G314" s="18">
        <v>40175.379999999997</v>
      </c>
      <c r="H314" s="18">
        <v>4030.99</v>
      </c>
      <c r="I314" s="18">
        <v>1297.97</v>
      </c>
      <c r="J314" s="18">
        <v>646.38</v>
      </c>
      <c r="K314" s="18"/>
      <c r="L314" s="19">
        <f>SUM(F314:K314)</f>
        <v>130977.8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26238.15</v>
      </c>
      <c r="G316" s="18">
        <v>3142.05</v>
      </c>
      <c r="H316" s="18"/>
      <c r="I316" s="18">
        <v>2190.77</v>
      </c>
      <c r="J316" s="18"/>
      <c r="K316" s="18"/>
      <c r="L316" s="19">
        <f>SUM(F316:K316)</f>
        <v>31570.97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0</v>
      </c>
      <c r="I319" s="18">
        <v>19028.52</v>
      </c>
      <c r="J319" s="18">
        <v>2690.1</v>
      </c>
      <c r="K319" s="18"/>
      <c r="L319" s="19">
        <f t="shared" si="16"/>
        <v>21718.62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617.63</v>
      </c>
      <c r="G323" s="18">
        <v>101.6</v>
      </c>
      <c r="H323" s="18"/>
      <c r="I323" s="18">
        <v>1868.74</v>
      </c>
      <c r="J323" s="18"/>
      <c r="K323" s="18"/>
      <c r="L323" s="19">
        <f t="shared" si="16"/>
        <v>2587.9700000000003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125455.65</v>
      </c>
      <c r="G327" s="42">
        <f t="shared" si="17"/>
        <v>51481.95</v>
      </c>
      <c r="H327" s="42">
        <f t="shared" si="17"/>
        <v>14195.25</v>
      </c>
      <c r="I327" s="42">
        <f t="shared" si="17"/>
        <v>25436.06</v>
      </c>
      <c r="J327" s="42">
        <f t="shared" si="17"/>
        <v>3336.48</v>
      </c>
      <c r="K327" s="42">
        <f t="shared" si="17"/>
        <v>0</v>
      </c>
      <c r="L327" s="41">
        <f t="shared" si="17"/>
        <v>219905.39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493974.23</v>
      </c>
      <c r="G337" s="41">
        <f t="shared" si="20"/>
        <v>192614.37</v>
      </c>
      <c r="H337" s="41">
        <f t="shared" si="20"/>
        <v>62309.99</v>
      </c>
      <c r="I337" s="41">
        <f t="shared" si="20"/>
        <v>43925.85</v>
      </c>
      <c r="J337" s="41">
        <f t="shared" si="20"/>
        <v>5084.1000000000004</v>
      </c>
      <c r="K337" s="41">
        <f t="shared" si="20"/>
        <v>0</v>
      </c>
      <c r="L337" s="41">
        <f t="shared" si="20"/>
        <v>797908.53999999992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4520.26</v>
      </c>
      <c r="L343" s="19">
        <f t="shared" ref="L343:L349" si="21">SUM(F343:K343)</f>
        <v>4520.26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4520.26</v>
      </c>
      <c r="L350" s="41">
        <f>SUM(L340:L349)</f>
        <v>4520.26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493974.23</v>
      </c>
      <c r="G351" s="41">
        <f>G337</f>
        <v>192614.37</v>
      </c>
      <c r="H351" s="41">
        <f>H337</f>
        <v>62309.99</v>
      </c>
      <c r="I351" s="41">
        <f>I337</f>
        <v>43925.85</v>
      </c>
      <c r="J351" s="41">
        <f>J337</f>
        <v>5084.1000000000004</v>
      </c>
      <c r="K351" s="47">
        <f>K337+K350</f>
        <v>4520.26</v>
      </c>
      <c r="L351" s="41">
        <f>L337+L350</f>
        <v>802428.79999999993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189634.88</v>
      </c>
      <c r="G357" s="18">
        <v>36597.08</v>
      </c>
      <c r="H357" s="18">
        <v>6066.42</v>
      </c>
      <c r="I357" s="18">
        <v>206075.99</v>
      </c>
      <c r="J357" s="18">
        <v>9864.86</v>
      </c>
      <c r="K357" s="18">
        <v>542.5</v>
      </c>
      <c r="L357" s="13">
        <f>SUM(F357:K357)</f>
        <v>448781.73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108998.54</v>
      </c>
      <c r="G359" s="18">
        <v>13535.9</v>
      </c>
      <c r="H359" s="18">
        <v>4663.62</v>
      </c>
      <c r="I359" s="18">
        <v>194158.41</v>
      </c>
      <c r="J359" s="18">
        <v>3648.65</v>
      </c>
      <c r="K359" s="18">
        <v>200.65</v>
      </c>
      <c r="L359" s="19">
        <f>SUM(F359:K359)</f>
        <v>325205.77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298633.42</v>
      </c>
      <c r="G361" s="47">
        <f t="shared" si="22"/>
        <v>50132.98</v>
      </c>
      <c r="H361" s="47">
        <f t="shared" si="22"/>
        <v>10730.04</v>
      </c>
      <c r="I361" s="47">
        <f t="shared" si="22"/>
        <v>400234.4</v>
      </c>
      <c r="J361" s="47">
        <f t="shared" si="22"/>
        <v>13513.51</v>
      </c>
      <c r="K361" s="47">
        <f t="shared" si="22"/>
        <v>743.15</v>
      </c>
      <c r="L361" s="47">
        <f t="shared" si="22"/>
        <v>773987.5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187450.69</v>
      </c>
      <c r="G366" s="18"/>
      <c r="H366" s="18">
        <v>18625.3</v>
      </c>
      <c r="I366" s="56">
        <f>SUM(F366:H366)</f>
        <v>206075.99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180846.35</v>
      </c>
      <c r="G367" s="63"/>
      <c r="H367" s="63">
        <v>13312.06</v>
      </c>
      <c r="I367" s="56">
        <f>SUM(F367:H367)</f>
        <v>194158.41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368297.04000000004</v>
      </c>
      <c r="G368" s="47">
        <f>SUM(G366:G367)</f>
        <v>0</v>
      </c>
      <c r="H368" s="47">
        <f>SUM(H366:H367)</f>
        <v>31937.360000000001</v>
      </c>
      <c r="I368" s="47">
        <f>SUM(I366:I367)</f>
        <v>400234.4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>
        <v>0</v>
      </c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1196</v>
      </c>
      <c r="I375" s="18"/>
      <c r="J375" s="18"/>
      <c r="K375" s="18"/>
      <c r="L375" s="13">
        <f t="shared" si="23"/>
        <v>1196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181606.85</v>
      </c>
      <c r="I377" s="18"/>
      <c r="J377" s="18">
        <v>24000</v>
      </c>
      <c r="K377" s="18"/>
      <c r="L377" s="13">
        <f t="shared" si="23"/>
        <v>205606.85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182802.85</v>
      </c>
      <c r="I381" s="41">
        <f t="shared" si="24"/>
        <v>0</v>
      </c>
      <c r="J381" s="47">
        <f t="shared" si="24"/>
        <v>24000</v>
      </c>
      <c r="K381" s="47">
        <f t="shared" si="24"/>
        <v>0</v>
      </c>
      <c r="L381" s="47">
        <f t="shared" si="24"/>
        <v>206802.85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51.93</v>
      </c>
      <c r="I391" s="18"/>
      <c r="J391" s="24" t="s">
        <v>289</v>
      </c>
      <c r="K391" s="24" t="s">
        <v>289</v>
      </c>
      <c r="L391" s="56">
        <f t="shared" si="25"/>
        <v>51.93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51.93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51.93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5.38</v>
      </c>
      <c r="I395" s="18"/>
      <c r="J395" s="24" t="s">
        <v>289</v>
      </c>
      <c r="K395" s="24" t="s">
        <v>289</v>
      </c>
      <c r="L395" s="56">
        <f t="shared" si="26"/>
        <v>5.38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5.38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5.38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57.31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57.31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196902.96</v>
      </c>
      <c r="G438" s="18">
        <v>18587.21</v>
      </c>
      <c r="H438" s="18"/>
      <c r="I438" s="56">
        <f t="shared" ref="I438:I444" si="33">SUM(F438:H438)</f>
        <v>215490.16999999998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196902.96</v>
      </c>
      <c r="G445" s="13">
        <f>SUM(G438:G444)</f>
        <v>18587.21</v>
      </c>
      <c r="H445" s="13">
        <f>SUM(H438:H444)</f>
        <v>0</v>
      </c>
      <c r="I445" s="13">
        <f>SUM(I438:I444)</f>
        <v>215490.16999999998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196902.96</v>
      </c>
      <c r="G458" s="18">
        <v>18587.21</v>
      </c>
      <c r="H458" s="18"/>
      <c r="I458" s="56">
        <f t="shared" si="34"/>
        <v>215490.16999999998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196902.96</v>
      </c>
      <c r="G459" s="83">
        <f>SUM(G453:G458)</f>
        <v>18587.21</v>
      </c>
      <c r="H459" s="83">
        <f>SUM(H453:H458)</f>
        <v>0</v>
      </c>
      <c r="I459" s="83">
        <f>SUM(I453:I458)</f>
        <v>215490.16999999998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196902.96</v>
      </c>
      <c r="G460" s="42">
        <f>G451+G459</f>
        <v>18587.21</v>
      </c>
      <c r="H460" s="42">
        <f>H451+H459</f>
        <v>0</v>
      </c>
      <c r="I460" s="42">
        <f>I451+I459</f>
        <v>215490.16999999998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693896.76</v>
      </c>
      <c r="G464" s="18">
        <v>6185.99</v>
      </c>
      <c r="H464" s="18">
        <v>29280.42</v>
      </c>
      <c r="I464" s="18">
        <v>328794.3</v>
      </c>
      <c r="J464" s="18">
        <v>215432.86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41804776.859999999</v>
      </c>
      <c r="G467" s="18">
        <v>888882.2</v>
      </c>
      <c r="H467" s="18">
        <v>815358.72</v>
      </c>
      <c r="I467" s="18">
        <v>0</v>
      </c>
      <c r="J467" s="18">
        <v>57.31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41804776.859999999</v>
      </c>
      <c r="G469" s="53">
        <f>SUM(G467:G468)</f>
        <v>888882.2</v>
      </c>
      <c r="H469" s="53">
        <f>SUM(H467:H468)</f>
        <v>815358.72</v>
      </c>
      <c r="I469" s="53">
        <f>SUM(I467:I468)</f>
        <v>0</v>
      </c>
      <c r="J469" s="53">
        <f>SUM(J467:J468)</f>
        <v>57.31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41519289.350000001</v>
      </c>
      <c r="G471" s="18">
        <v>773987.49</v>
      </c>
      <c r="H471" s="18">
        <v>802428.79</v>
      </c>
      <c r="I471" s="18">
        <v>206802.85</v>
      </c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41519289.350000001</v>
      </c>
      <c r="G473" s="53">
        <f>SUM(G471:G472)</f>
        <v>773987.49</v>
      </c>
      <c r="H473" s="53">
        <f>SUM(H471:H472)</f>
        <v>802428.79</v>
      </c>
      <c r="I473" s="53">
        <f>SUM(I471:I472)</f>
        <v>206802.85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979384.26999999583</v>
      </c>
      <c r="G475" s="53">
        <f>(G464+G469)- G473</f>
        <v>121080.69999999995</v>
      </c>
      <c r="H475" s="53">
        <f>(H464+H469)- H473</f>
        <v>42210.349999999977</v>
      </c>
      <c r="I475" s="53">
        <f>(I464+I469)- I473</f>
        <v>121991.44999999998</v>
      </c>
      <c r="J475" s="53">
        <f>(J464+J469)- J473</f>
        <v>215490.16999999998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42753296</v>
      </c>
      <c r="G492" s="18">
        <v>4000000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3.92</v>
      </c>
      <c r="G493" s="18">
        <v>3.69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27275000</v>
      </c>
      <c r="G494" s="18">
        <v>2615000</v>
      </c>
      <c r="H494" s="18"/>
      <c r="I494" s="18"/>
      <c r="J494" s="18"/>
      <c r="K494" s="53">
        <f>SUM(F494:J494)</f>
        <v>29890000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2580000</v>
      </c>
      <c r="G496" s="18">
        <v>375000</v>
      </c>
      <c r="H496" s="18"/>
      <c r="I496" s="18"/>
      <c r="J496" s="18"/>
      <c r="K496" s="53">
        <f t="shared" si="35"/>
        <v>2955000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24695000</v>
      </c>
      <c r="G497" s="204">
        <f>G494-G496</f>
        <v>2240000</v>
      </c>
      <c r="H497" s="204"/>
      <c r="I497" s="204"/>
      <c r="J497" s="204"/>
      <c r="K497" s="205">
        <f t="shared" si="35"/>
        <v>26935000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6946593.38-1021187.5</f>
        <v>5925405.8799999999</v>
      </c>
      <c r="G498" s="18">
        <f>478725-126975</f>
        <v>351750</v>
      </c>
      <c r="H498" s="18"/>
      <c r="I498" s="18"/>
      <c r="J498" s="18"/>
      <c r="K498" s="53">
        <f t="shared" si="35"/>
        <v>6277155.8799999999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30620405.879999999</v>
      </c>
      <c r="G499" s="42">
        <f>SUM(G497:G498)</f>
        <v>2591750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33212155.879999999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2575000</v>
      </c>
      <c r="G500" s="204">
        <v>375000</v>
      </c>
      <c r="H500" s="204"/>
      <c r="I500" s="204"/>
      <c r="J500" s="204"/>
      <c r="K500" s="205">
        <f t="shared" si="35"/>
        <v>2950000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486408.25+438125</f>
        <v>924533.25</v>
      </c>
      <c r="G501" s="18">
        <f>58800+48956.25</f>
        <v>107756.25</v>
      </c>
      <c r="H501" s="18"/>
      <c r="I501" s="18"/>
      <c r="J501" s="18"/>
      <c r="K501" s="53">
        <f t="shared" si="35"/>
        <v>1032289.5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3499533.25</v>
      </c>
      <c r="G502" s="42">
        <f>SUM(G500:G501)</f>
        <v>482756.25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3982289.5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2666551.74-184273</f>
        <v>2482278.7400000002</v>
      </c>
      <c r="G520" s="18">
        <v>1244498.03</v>
      </c>
      <c r="H520" s="18">
        <v>1053628.21</v>
      </c>
      <c r="I520" s="18">
        <v>28959.98</v>
      </c>
      <c r="J520" s="18">
        <v>33561.71</v>
      </c>
      <c r="K520" s="18"/>
      <c r="L520" s="88">
        <f>SUM(F520:K520)</f>
        <v>4842926.6700000009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911583.19-100858</f>
        <v>810725.19</v>
      </c>
      <c r="G522" s="18">
        <v>475701.98</v>
      </c>
      <c r="H522" s="18">
        <v>396798.66</v>
      </c>
      <c r="I522" s="18">
        <v>16297.41</v>
      </c>
      <c r="J522" s="18">
        <v>11250.46</v>
      </c>
      <c r="K522" s="18">
        <v>646.83000000000004</v>
      </c>
      <c r="L522" s="88">
        <f>SUM(F522:K522)</f>
        <v>1711420.5299999998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3293003.93</v>
      </c>
      <c r="G523" s="108">
        <f t="shared" ref="G523:L523" si="36">SUM(G520:G522)</f>
        <v>1720200.01</v>
      </c>
      <c r="H523" s="108">
        <f t="shared" si="36"/>
        <v>1450426.8699999999</v>
      </c>
      <c r="I523" s="108">
        <f t="shared" si="36"/>
        <v>45257.39</v>
      </c>
      <c r="J523" s="108">
        <f t="shared" si="36"/>
        <v>44812.17</v>
      </c>
      <c r="K523" s="108">
        <f t="shared" si="36"/>
        <v>646.83000000000004</v>
      </c>
      <c r="L523" s="89">
        <f t="shared" si="36"/>
        <v>6554347.2000000011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1071392.1299999999</v>
      </c>
      <c r="G525" s="18">
        <v>523416.51</v>
      </c>
      <c r="H525" s="18">
        <v>173301.35</v>
      </c>
      <c r="I525" s="18">
        <v>13305.84</v>
      </c>
      <c r="J525" s="18">
        <v>24912.720000000001</v>
      </c>
      <c r="K525" s="18">
        <v>277.39999999999998</v>
      </c>
      <c r="L525" s="88">
        <f>SUM(F525:K525)</f>
        <v>1806605.95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99579.41</v>
      </c>
      <c r="G527" s="18">
        <v>87268.42</v>
      </c>
      <c r="H527" s="18">
        <v>64097.760000000002</v>
      </c>
      <c r="I527" s="18">
        <v>4725.18</v>
      </c>
      <c r="J527" s="18">
        <v>3354.76</v>
      </c>
      <c r="K527" s="18">
        <v>102.6</v>
      </c>
      <c r="L527" s="88">
        <f>SUM(F527:K527)</f>
        <v>259128.13000000003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1170971.5399999998</v>
      </c>
      <c r="G528" s="89">
        <f t="shared" ref="G528:L528" si="37">SUM(G525:G527)</f>
        <v>610684.93000000005</v>
      </c>
      <c r="H528" s="89">
        <f t="shared" si="37"/>
        <v>237399.11000000002</v>
      </c>
      <c r="I528" s="89">
        <f t="shared" si="37"/>
        <v>18031.02</v>
      </c>
      <c r="J528" s="89">
        <f t="shared" si="37"/>
        <v>28267.480000000003</v>
      </c>
      <c r="K528" s="89">
        <f t="shared" si="37"/>
        <v>380</v>
      </c>
      <c r="L528" s="89">
        <f t="shared" si="37"/>
        <v>2065734.08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184273</v>
      </c>
      <c r="G530" s="18">
        <v>87209.56</v>
      </c>
      <c r="H530" s="18"/>
      <c r="I530" s="18"/>
      <c r="J530" s="18"/>
      <c r="K530" s="18"/>
      <c r="L530" s="88">
        <f>SUM(F530:K530)</f>
        <v>271482.56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100858</v>
      </c>
      <c r="G532" s="18">
        <v>87209.56</v>
      </c>
      <c r="H532" s="18"/>
      <c r="I532" s="18"/>
      <c r="J532" s="18"/>
      <c r="K532" s="18"/>
      <c r="L532" s="88">
        <f>SUM(F532:K532)</f>
        <v>188067.56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285131</v>
      </c>
      <c r="G533" s="89">
        <f t="shared" ref="G533:L533" si="38">SUM(G530:G532)</f>
        <v>174419.12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459550.12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457668.57</v>
      </c>
      <c r="I540" s="18"/>
      <c r="J540" s="18"/>
      <c r="K540" s="18"/>
      <c r="L540" s="88">
        <f>SUM(F540:K540)</f>
        <v>457668.57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169274.68</v>
      </c>
      <c r="I542" s="18"/>
      <c r="J542" s="18"/>
      <c r="K542" s="18"/>
      <c r="L542" s="88">
        <f>SUM(F542:K542)</f>
        <v>169274.68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626943.25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626943.25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4749106.47</v>
      </c>
      <c r="G544" s="89">
        <f t="shared" ref="G544:L544" si="41">G523+G528+G533+G538+G543</f>
        <v>2505304.06</v>
      </c>
      <c r="H544" s="89">
        <f t="shared" si="41"/>
        <v>2314769.23</v>
      </c>
      <c r="I544" s="89">
        <f t="shared" si="41"/>
        <v>63288.41</v>
      </c>
      <c r="J544" s="89">
        <f t="shared" si="41"/>
        <v>73079.649999999994</v>
      </c>
      <c r="K544" s="89">
        <f t="shared" si="41"/>
        <v>1026.83</v>
      </c>
      <c r="L544" s="89">
        <f t="shared" si="41"/>
        <v>9706574.6500000004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4842926.6700000009</v>
      </c>
      <c r="G548" s="87">
        <f>L525</f>
        <v>1806605.95</v>
      </c>
      <c r="H548" s="87">
        <f>L530</f>
        <v>271482.56</v>
      </c>
      <c r="I548" s="87">
        <f>L535</f>
        <v>0</v>
      </c>
      <c r="J548" s="87">
        <f>L540</f>
        <v>457668.57</v>
      </c>
      <c r="K548" s="87">
        <f>SUM(F548:J548)</f>
        <v>7378683.7500000009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1711420.5299999998</v>
      </c>
      <c r="G550" s="87">
        <f>L527</f>
        <v>259128.13000000003</v>
      </c>
      <c r="H550" s="87">
        <f>L532</f>
        <v>188067.56</v>
      </c>
      <c r="I550" s="87">
        <f>L537</f>
        <v>0</v>
      </c>
      <c r="J550" s="87">
        <f>L542</f>
        <v>169274.68</v>
      </c>
      <c r="K550" s="87">
        <f>SUM(F550:J550)</f>
        <v>2327890.9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6554347.2000000011</v>
      </c>
      <c r="G551" s="89">
        <f t="shared" si="42"/>
        <v>2065734.08</v>
      </c>
      <c r="H551" s="89">
        <f t="shared" si="42"/>
        <v>459550.12</v>
      </c>
      <c r="I551" s="89">
        <f t="shared" si="42"/>
        <v>0</v>
      </c>
      <c r="J551" s="89">
        <f t="shared" si="42"/>
        <v>626943.25</v>
      </c>
      <c r="K551" s="89">
        <f t="shared" si="42"/>
        <v>9706574.6500000004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112698.19</v>
      </c>
      <c r="G561" s="18">
        <v>53734.94</v>
      </c>
      <c r="H561" s="18">
        <v>882.35</v>
      </c>
      <c r="I561" s="18">
        <v>4386.3100000000004</v>
      </c>
      <c r="J561" s="18"/>
      <c r="K561" s="18">
        <v>1747.62</v>
      </c>
      <c r="L561" s="88">
        <f>SUM(F561:K561)</f>
        <v>173449.41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41682.89</v>
      </c>
      <c r="G563" s="18">
        <v>17963.12</v>
      </c>
      <c r="H563" s="18">
        <v>326.35000000000002</v>
      </c>
      <c r="I563" s="18">
        <v>1622.34</v>
      </c>
      <c r="J563" s="18"/>
      <c r="K563" s="18">
        <v>646.38</v>
      </c>
      <c r="L563" s="88">
        <f>SUM(F563:K563)</f>
        <v>62241.079999999987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154381.08000000002</v>
      </c>
      <c r="G564" s="89">
        <f t="shared" si="44"/>
        <v>71698.06</v>
      </c>
      <c r="H564" s="89">
        <f t="shared" si="44"/>
        <v>1208.7</v>
      </c>
      <c r="I564" s="89">
        <f t="shared" si="44"/>
        <v>6008.6500000000005</v>
      </c>
      <c r="J564" s="89">
        <f t="shared" si="44"/>
        <v>0</v>
      </c>
      <c r="K564" s="89">
        <f t="shared" si="44"/>
        <v>2394</v>
      </c>
      <c r="L564" s="89">
        <f t="shared" si="44"/>
        <v>235690.49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154381.08000000002</v>
      </c>
      <c r="G570" s="89">
        <f t="shared" ref="G570:L570" si="46">G559+G564+G569</f>
        <v>71698.06</v>
      </c>
      <c r="H570" s="89">
        <f t="shared" si="46"/>
        <v>1208.7</v>
      </c>
      <c r="I570" s="89">
        <f t="shared" si="46"/>
        <v>6008.6500000000005</v>
      </c>
      <c r="J570" s="89">
        <f t="shared" si="46"/>
        <v>0</v>
      </c>
      <c r="K570" s="89">
        <f t="shared" si="46"/>
        <v>2394</v>
      </c>
      <c r="L570" s="89">
        <f t="shared" si="46"/>
        <v>235690.49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30225.51</v>
      </c>
      <c r="G578" s="18"/>
      <c r="H578" s="18">
        <v>11179.3</v>
      </c>
      <c r="I578" s="87">
        <f t="shared" si="47"/>
        <v>41404.81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712520.37</v>
      </c>
      <c r="G581" s="18"/>
      <c r="H581" s="18">
        <v>263534.93</v>
      </c>
      <c r="I581" s="87">
        <f t="shared" si="47"/>
        <v>976055.3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169174.01</v>
      </c>
      <c r="G582" s="18"/>
      <c r="H582" s="18">
        <v>62571.21</v>
      </c>
      <c r="I582" s="87">
        <f t="shared" si="47"/>
        <v>231745.22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51269.9</v>
      </c>
      <c r="I583" s="87">
        <f t="shared" si="47"/>
        <v>51269.9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957103.88</v>
      </c>
      <c r="I590" s="18"/>
      <c r="J590" s="18">
        <v>353997.32</v>
      </c>
      <c r="K590" s="104">
        <f t="shared" ref="K590:K596" si="48">SUM(H590:J590)</f>
        <v>1311101.2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457668.57</v>
      </c>
      <c r="I591" s="18"/>
      <c r="J591" s="18">
        <v>169274.68</v>
      </c>
      <c r="K591" s="104">
        <f t="shared" si="48"/>
        <v>626943.25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59887</v>
      </c>
      <c r="K592" s="104">
        <f t="shared" si="48"/>
        <v>59887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20763.34</v>
      </c>
      <c r="I593" s="18"/>
      <c r="J593" s="18">
        <v>94868.58</v>
      </c>
      <c r="K593" s="104">
        <f t="shared" si="48"/>
        <v>115631.92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21740.87</v>
      </c>
      <c r="I594" s="18"/>
      <c r="J594" s="18">
        <v>8041.14</v>
      </c>
      <c r="K594" s="104">
        <f t="shared" si="48"/>
        <v>29782.01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32294.2</v>
      </c>
      <c r="I596" s="18"/>
      <c r="J596" s="18">
        <v>11944.43</v>
      </c>
      <c r="K596" s="104">
        <f t="shared" si="48"/>
        <v>44238.630000000005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1489570.86</v>
      </c>
      <c r="I597" s="108">
        <f>SUM(I590:I596)</f>
        <v>0</v>
      </c>
      <c r="J597" s="108">
        <f>SUM(J590:J596)</f>
        <v>698013.15</v>
      </c>
      <c r="K597" s="108">
        <f>SUM(K590:K596)</f>
        <v>2187584.0099999998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382582.95</v>
      </c>
      <c r="I603" s="18"/>
      <c r="J603" s="18">
        <v>350165.27</v>
      </c>
      <c r="K603" s="104">
        <f>SUM(H603:J603)</f>
        <v>732748.22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382582.95</v>
      </c>
      <c r="I604" s="108">
        <f>SUM(I601:I603)</f>
        <v>0</v>
      </c>
      <c r="J604" s="108">
        <f>SUM(J601:J603)</f>
        <v>350165.27</v>
      </c>
      <c r="K604" s="108">
        <f>SUM(K601:K603)</f>
        <v>732748.22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77308.490000000005</v>
      </c>
      <c r="G610" s="18">
        <v>34883.83</v>
      </c>
      <c r="H610" s="18"/>
      <c r="I610" s="18"/>
      <c r="J610" s="18"/>
      <c r="K610" s="18"/>
      <c r="L610" s="88">
        <f>SUM(F610:K610)</f>
        <v>112192.32000000001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21263.48</v>
      </c>
      <c r="G612" s="18">
        <v>8720.9599999999991</v>
      </c>
      <c r="H612" s="18"/>
      <c r="I612" s="18"/>
      <c r="J612" s="18"/>
      <c r="K612" s="18"/>
      <c r="L612" s="88">
        <f>SUM(F612:K612)</f>
        <v>29984.44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98571.97</v>
      </c>
      <c r="G613" s="108">
        <f t="shared" si="49"/>
        <v>43604.79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142176.76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1213493.7000000002</v>
      </c>
      <c r="H616" s="109">
        <f>SUM(F51)</f>
        <v>1213493.7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152519.88999999998</v>
      </c>
      <c r="H617" s="109">
        <f>SUM(G51)</f>
        <v>152519.88999999998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178330.15</v>
      </c>
      <c r="H618" s="109">
        <f>SUM(H51)</f>
        <v>178330.15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127321.45</v>
      </c>
      <c r="H619" s="109">
        <f>SUM(I51)</f>
        <v>127321.45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215490.16999999998</v>
      </c>
      <c r="H620" s="109">
        <f>SUM(J51)</f>
        <v>215490.16999999998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979384.27</v>
      </c>
      <c r="H621" s="109">
        <f>F475</f>
        <v>979384.26999999583</v>
      </c>
      <c r="I621" s="121" t="s">
        <v>101</v>
      </c>
      <c r="J621" s="109">
        <f t="shared" ref="J621:J654" si="50">G621-H621</f>
        <v>4.1909515857696533E-9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121080.7</v>
      </c>
      <c r="H622" s="109">
        <f>G475</f>
        <v>121080.69999999995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42210.35</v>
      </c>
      <c r="H623" s="109">
        <f>H475</f>
        <v>42210.349999999977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121991.45</v>
      </c>
      <c r="H624" s="109">
        <f>I475</f>
        <v>121991.44999999998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215490.16999999998</v>
      </c>
      <c r="H625" s="109">
        <f>J475</f>
        <v>215490.16999999998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41804776.859999999</v>
      </c>
      <c r="H626" s="104">
        <f>SUM(F467)</f>
        <v>41804776.859999999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888882.2</v>
      </c>
      <c r="H627" s="104">
        <f>SUM(G467)</f>
        <v>888882.2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815358.72</v>
      </c>
      <c r="H628" s="104">
        <f>SUM(H467)</f>
        <v>815358.72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57.31</v>
      </c>
      <c r="H630" s="104">
        <f>SUM(J467)</f>
        <v>57.31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41519289.329999998</v>
      </c>
      <c r="H631" s="104">
        <f>SUM(F471)</f>
        <v>41519289.350000001</v>
      </c>
      <c r="I631" s="140" t="s">
        <v>111</v>
      </c>
      <c r="J631" s="109">
        <f t="shared" si="50"/>
        <v>-2.0000003278255463E-2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802428.79999999993</v>
      </c>
      <c r="H632" s="104">
        <f>SUM(H471)</f>
        <v>802428.79</v>
      </c>
      <c r="I632" s="140" t="s">
        <v>112</v>
      </c>
      <c r="J632" s="109">
        <f>G632-H632</f>
        <v>9.9999998928979039E-3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400234.4</v>
      </c>
      <c r="H633" s="104">
        <f>I368</f>
        <v>400234.4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773987.5</v>
      </c>
      <c r="H634" s="104">
        <f>SUM(G471)</f>
        <v>773987.49</v>
      </c>
      <c r="I634" s="140" t="s">
        <v>114</v>
      </c>
      <c r="J634" s="109">
        <f t="shared" si="50"/>
        <v>1.0000000009313226E-2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206802.85</v>
      </c>
      <c r="H635" s="104">
        <f>SUM(I471)</f>
        <v>206802.85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57.31</v>
      </c>
      <c r="H636" s="164">
        <f>SUM(J467)</f>
        <v>57.31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196902.96</v>
      </c>
      <c r="H638" s="104">
        <f>SUM(F460)</f>
        <v>196902.96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18587.21</v>
      </c>
      <c r="H639" s="104">
        <f>SUM(G460)</f>
        <v>18587.21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215490.16999999998</v>
      </c>
      <c r="H641" s="104">
        <f>SUM(I460)</f>
        <v>215490.16999999998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57.31</v>
      </c>
      <c r="H643" s="104">
        <f>H407</f>
        <v>57.31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57.31</v>
      </c>
      <c r="H645" s="104">
        <f>L407</f>
        <v>57.31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2187584.0099999998</v>
      </c>
      <c r="H646" s="104">
        <f>L207+L225+L243</f>
        <v>2187584.0099999998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732748.22</v>
      </c>
      <c r="H647" s="104">
        <f>(J256+J337)-(J254+J335)</f>
        <v>732748.22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1489570.8499999999</v>
      </c>
      <c r="H648" s="104">
        <f>H597</f>
        <v>1489570.86</v>
      </c>
      <c r="I648" s="140" t="s">
        <v>389</v>
      </c>
      <c r="J648" s="109">
        <f t="shared" si="50"/>
        <v>-1.0000000242143869E-2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698013.15999999992</v>
      </c>
      <c r="H650" s="104">
        <f>J597</f>
        <v>698013.15</v>
      </c>
      <c r="I650" s="140" t="s">
        <v>391</v>
      </c>
      <c r="J650" s="109">
        <f t="shared" si="50"/>
        <v>9.9999998928979039E-3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26632479.950000003</v>
      </c>
      <c r="G659" s="19">
        <f>(L228+L308+L358)</f>
        <v>0</v>
      </c>
      <c r="H659" s="19">
        <f>(L246+L327+L359)</f>
        <v>12230832.84</v>
      </c>
      <c r="I659" s="19">
        <f>SUM(F659:H659)</f>
        <v>38863312.790000007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416933.06068941433</v>
      </c>
      <c r="G660" s="19">
        <f>(L358/IF(SUM(L357:L359)=0,1,SUM(L357:L359))*(SUM(G96:G109)))</f>
        <v>0</v>
      </c>
      <c r="H660" s="19">
        <f>(L359/IF(SUM(L357:L359)=0,1,SUM(L357:L359))*(SUM(G96:G109)))</f>
        <v>302126.90931058564</v>
      </c>
      <c r="I660" s="19">
        <f>SUM(F660:H660)</f>
        <v>719059.97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1489570.8499999999</v>
      </c>
      <c r="G661" s="19">
        <f>(L225+L305)-(J225+J305)</f>
        <v>0</v>
      </c>
      <c r="H661" s="19">
        <f>(L243+L324)-(J243+J324)</f>
        <v>698013.15999999992</v>
      </c>
      <c r="I661" s="19">
        <f>SUM(F661:H661)</f>
        <v>2187584.0099999998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1406695.1600000001</v>
      </c>
      <c r="G662" s="199">
        <f>SUM(G574:G586)+SUM(I601:I603)+L611</f>
        <v>0</v>
      </c>
      <c r="H662" s="199">
        <f>SUM(H574:H586)+SUM(J601:J603)+L612</f>
        <v>768705.05</v>
      </c>
      <c r="I662" s="19">
        <f>SUM(F662:H662)</f>
        <v>2175400.21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23319280.879310589</v>
      </c>
      <c r="G663" s="19">
        <f>G659-SUM(G660:G662)</f>
        <v>0</v>
      </c>
      <c r="H663" s="19">
        <f>H659-SUM(H660:H662)</f>
        <v>10461987.720689414</v>
      </c>
      <c r="I663" s="19">
        <f>I659-SUM(I660:I662)</f>
        <v>33781268.600000009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1948.71</v>
      </c>
      <c r="G664" s="248"/>
      <c r="H664" s="248">
        <v>738.31</v>
      </c>
      <c r="I664" s="19">
        <f>SUM(F664:H664)</f>
        <v>2687.02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11966.52</v>
      </c>
      <c r="G666" s="19" t="e">
        <f>ROUND(G663/G664,2)</f>
        <v>#DIV/0!</v>
      </c>
      <c r="H666" s="19">
        <f>ROUND(H663/H664,2)</f>
        <v>14170.18</v>
      </c>
      <c r="I666" s="19">
        <f>ROUND(I663/I664,2)</f>
        <v>12572.02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-12.68</v>
      </c>
      <c r="I669" s="19">
        <f>SUM(F669:H669)</f>
        <v>-12.68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11966.52</v>
      </c>
      <c r="G671" s="19" t="e">
        <f>ROUND((G663+G668)/(G664+G669),2)</f>
        <v>#DIV/0!</v>
      </c>
      <c r="H671" s="19">
        <f>ROUND((H663+H668)/(H664+H669),2)</f>
        <v>14417.8</v>
      </c>
      <c r="I671" s="19">
        <f>ROUND((I663+I668)/(I664+I669),2)</f>
        <v>12631.63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G44" sqref="G4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Windham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10578046.969999999</v>
      </c>
      <c r="C9" s="229">
        <f>'DOE25'!G196+'DOE25'!G214+'DOE25'!G232+'DOE25'!G275+'DOE25'!G294+'DOE25'!G313</f>
        <v>4829798.8</v>
      </c>
    </row>
    <row r="10" spans="1:3" x14ac:dyDescent="0.2">
      <c r="A10" t="s">
        <v>779</v>
      </c>
      <c r="B10" s="240">
        <v>9736465.3000000007</v>
      </c>
      <c r="C10" s="240">
        <f>(B10/B9)*C9</f>
        <v>4445543.5446210392</v>
      </c>
    </row>
    <row r="11" spans="1:3" x14ac:dyDescent="0.2">
      <c r="A11" t="s">
        <v>780</v>
      </c>
      <c r="B11" s="240">
        <v>475267.13</v>
      </c>
      <c r="C11" s="240">
        <f>(B11/B9)*C9</f>
        <v>217000.79614540076</v>
      </c>
    </row>
    <row r="12" spans="1:3" x14ac:dyDescent="0.2">
      <c r="A12" t="s">
        <v>781</v>
      </c>
      <c r="B12" s="240">
        <v>366314.54</v>
      </c>
      <c r="C12" s="240">
        <f>(B12/B9)*C9</f>
        <v>167254.4592335604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10578046.970000001</v>
      </c>
      <c r="C13" s="231">
        <f>SUM(C10:C12)</f>
        <v>4829798.8000000007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3746202.5600000005</v>
      </c>
      <c r="C18" s="229">
        <f>'DOE25'!G197+'DOE25'!G215+'DOE25'!G233+'DOE25'!G276+'DOE25'!G295+'DOE25'!G314</f>
        <v>1723447.3499999999</v>
      </c>
    </row>
    <row r="19" spans="1:3" x14ac:dyDescent="0.2">
      <c r="A19" t="s">
        <v>779</v>
      </c>
      <c r="B19" s="240">
        <v>1757946.24</v>
      </c>
      <c r="C19" s="240">
        <f>(B19/B18)*C18</f>
        <v>808746.38790766918</v>
      </c>
    </row>
    <row r="20" spans="1:3" x14ac:dyDescent="0.2">
      <c r="A20" t="s">
        <v>780</v>
      </c>
      <c r="B20" s="240">
        <v>1911454.45</v>
      </c>
      <c r="C20" s="240">
        <f>(B20/B18)*C18</f>
        <v>879368.1211136129</v>
      </c>
    </row>
    <row r="21" spans="1:3" x14ac:dyDescent="0.2">
      <c r="A21" t="s">
        <v>781</v>
      </c>
      <c r="B21" s="240">
        <v>76801.87</v>
      </c>
      <c r="C21" s="240">
        <f>(B21/B18)*C18</f>
        <v>35332.840978717519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3746202.56</v>
      </c>
      <c r="C22" s="231">
        <f>SUM(C19:C21)</f>
        <v>1723447.3499999996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593573.18000000005</v>
      </c>
      <c r="C36" s="235">
        <f>'DOE25'!G199+'DOE25'!G217+'DOE25'!G235+'DOE25'!G278+'DOE25'!G297+'DOE25'!G316</f>
        <v>271796.11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593573.18000000005</v>
      </c>
      <c r="C39" s="240">
        <f>C36</f>
        <v>271796.11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593573.18000000005</v>
      </c>
      <c r="C40" s="231">
        <f>SUM(C37:C39)</f>
        <v>271796.11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G44" sqref="G44"/>
      <selection pane="bottomLeft" activeCell="G44" sqref="G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Windham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23782118.300000001</v>
      </c>
      <c r="D5" s="20">
        <f>SUM('DOE25'!L196:L199)+SUM('DOE25'!L214:L217)+SUM('DOE25'!L232:L235)-F5-G5</f>
        <v>23408333.560000002</v>
      </c>
      <c r="E5" s="243"/>
      <c r="F5" s="255">
        <f>SUM('DOE25'!J196:J199)+SUM('DOE25'!J214:J217)+SUM('DOE25'!J232:J235)</f>
        <v>258244.95</v>
      </c>
      <c r="G5" s="53">
        <f>SUM('DOE25'!K196:K199)+SUM('DOE25'!K214:K217)+SUM('DOE25'!K232:K235)</f>
        <v>115539.79000000001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3291811.9600000004</v>
      </c>
      <c r="D6" s="20">
        <f>'DOE25'!L201+'DOE25'!L219+'DOE25'!L237-F6-G6</f>
        <v>3254206.6400000006</v>
      </c>
      <c r="E6" s="243"/>
      <c r="F6" s="255">
        <f>'DOE25'!J201+'DOE25'!J219+'DOE25'!J237</f>
        <v>28267.480000000003</v>
      </c>
      <c r="G6" s="53">
        <f>'DOE25'!K201+'DOE25'!K219+'DOE25'!K237</f>
        <v>9337.84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2029265.98</v>
      </c>
      <c r="D7" s="20">
        <f>'DOE25'!L202+'DOE25'!L220+'DOE25'!L238-F7-G7</f>
        <v>1602822.25</v>
      </c>
      <c r="E7" s="243"/>
      <c r="F7" s="255">
        <f>'DOE25'!J202+'DOE25'!J220+'DOE25'!J238</f>
        <v>297106.82</v>
      </c>
      <c r="G7" s="53">
        <f>'DOE25'!K202+'DOE25'!K220+'DOE25'!K238</f>
        <v>129336.91</v>
      </c>
      <c r="H7" s="259"/>
    </row>
    <row r="8" spans="1:9" x14ac:dyDescent="0.2">
      <c r="A8" s="32">
        <v>2300</v>
      </c>
      <c r="B8" t="s">
        <v>802</v>
      </c>
      <c r="C8" s="245">
        <f t="shared" si="0"/>
        <v>789294.16000000015</v>
      </c>
      <c r="D8" s="243"/>
      <c r="E8" s="20">
        <f>'DOE25'!L203+'DOE25'!L221+'DOE25'!L239-F8-G8-D9-D11</f>
        <v>769648.2300000001</v>
      </c>
      <c r="F8" s="255">
        <f>'DOE25'!J203+'DOE25'!J221+'DOE25'!J239</f>
        <v>0</v>
      </c>
      <c r="G8" s="53">
        <f>'DOE25'!K203+'DOE25'!K221+'DOE25'!K239</f>
        <v>19645.93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58157.2</v>
      </c>
      <c r="D9" s="244">
        <v>58157.2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21975</v>
      </c>
      <c r="D10" s="243"/>
      <c r="E10" s="244">
        <v>21975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150771</v>
      </c>
      <c r="D11" s="244">
        <v>150771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1585668.9699999995</v>
      </c>
      <c r="D12" s="20">
        <f>'DOE25'!L204+'DOE25'!L222+'DOE25'!L240-F12-G12</f>
        <v>1493716.4199999997</v>
      </c>
      <c r="E12" s="243"/>
      <c r="F12" s="255">
        <f>'DOE25'!J204+'DOE25'!J222+'DOE25'!J240</f>
        <v>60991.369999999995</v>
      </c>
      <c r="G12" s="53">
        <f>'DOE25'!K204+'DOE25'!K222+'DOE25'!K240</f>
        <v>30961.18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3336885.17</v>
      </c>
      <c r="D14" s="20">
        <f>'DOE25'!L206+'DOE25'!L224+'DOE25'!L242-F14-G14</f>
        <v>3253831.67</v>
      </c>
      <c r="E14" s="243"/>
      <c r="F14" s="255">
        <f>'DOE25'!J206+'DOE25'!J224+'DOE25'!J242</f>
        <v>83053.5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2187584.0099999998</v>
      </c>
      <c r="D15" s="20">
        <f>'DOE25'!L207+'DOE25'!L225+'DOE25'!L243-F15-G15</f>
        <v>2187584.0099999998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79860</v>
      </c>
      <c r="D16" s="243"/>
      <c r="E16" s="20">
        <f>'DOE25'!L208+'DOE25'!L226+'DOE25'!L244-F16-G16</f>
        <v>78410</v>
      </c>
      <c r="F16" s="255">
        <f>'DOE25'!J208+'DOE25'!J226+'DOE25'!J244</f>
        <v>0</v>
      </c>
      <c r="G16" s="53">
        <f>'DOE25'!K208+'DOE25'!K226+'DOE25'!K244</f>
        <v>1450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124710.08</v>
      </c>
      <c r="D22" s="243"/>
      <c r="E22" s="243"/>
      <c r="F22" s="255">
        <f>'DOE25'!L254+'DOE25'!L335</f>
        <v>124710.08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4103162.5</v>
      </c>
      <c r="D25" s="243"/>
      <c r="E25" s="243"/>
      <c r="F25" s="258"/>
      <c r="G25" s="256"/>
      <c r="H25" s="257">
        <f>'DOE25'!L259+'DOE25'!L260+'DOE25'!L340+'DOE25'!L341</f>
        <v>4103162.5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567911.51</v>
      </c>
      <c r="D29" s="20">
        <f>'DOE25'!L357+'DOE25'!L358+'DOE25'!L359-'DOE25'!I366-F29-G29</f>
        <v>553654.85</v>
      </c>
      <c r="E29" s="243"/>
      <c r="F29" s="255">
        <f>'DOE25'!J357+'DOE25'!J358+'DOE25'!J359</f>
        <v>13513.51</v>
      </c>
      <c r="G29" s="53">
        <f>'DOE25'!K357+'DOE25'!K358+'DOE25'!K359</f>
        <v>743.15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797908.53999999992</v>
      </c>
      <c r="D31" s="20">
        <f>'DOE25'!L289+'DOE25'!L308+'DOE25'!L327+'DOE25'!L332+'DOE25'!L333+'DOE25'!L334-F31-G31</f>
        <v>792824.44</v>
      </c>
      <c r="E31" s="243"/>
      <c r="F31" s="255">
        <f>'DOE25'!J289+'DOE25'!J308+'DOE25'!J327+'DOE25'!J332+'DOE25'!J333+'DOE25'!J334</f>
        <v>5084.1000000000004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36755902.039999999</v>
      </c>
      <c r="E33" s="246">
        <f>SUM(E5:E31)</f>
        <v>870033.2300000001</v>
      </c>
      <c r="F33" s="246">
        <f>SUM(F5:F31)</f>
        <v>870971.80999999994</v>
      </c>
      <c r="G33" s="246">
        <f>SUM(G5:G31)</f>
        <v>307014.80000000005</v>
      </c>
      <c r="H33" s="246">
        <f>SUM(H5:H31)</f>
        <v>4103162.5</v>
      </c>
    </row>
    <row r="35" spans="2:8" ht="12" thickBot="1" x14ac:dyDescent="0.25">
      <c r="B35" s="253" t="s">
        <v>847</v>
      </c>
      <c r="D35" s="254">
        <f>E33</f>
        <v>870033.2300000001</v>
      </c>
      <c r="E35" s="249"/>
    </row>
    <row r="36" spans="2:8" ht="12" thickTop="1" x14ac:dyDescent="0.2">
      <c r="B36" t="s">
        <v>815</v>
      </c>
      <c r="D36" s="20">
        <f>D33</f>
        <v>36755902.039999999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activeCell="O4" sqref="O4"/>
      <selection pane="bottomLeft" activeCell="O4" sqref="O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Windham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1162265.02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215490.16999999998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121998.67</v>
      </c>
      <c r="E11" s="95">
        <f>'DOE25'!H12</f>
        <v>0</v>
      </c>
      <c r="F11" s="95">
        <f>'DOE25'!I12</f>
        <v>127321.45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43478.11</v>
      </c>
      <c r="D12" s="95">
        <f>'DOE25'!G13</f>
        <v>8525.94</v>
      </c>
      <c r="E12" s="95">
        <f>'DOE25'!H13</f>
        <v>177126.15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7750.57</v>
      </c>
      <c r="D13" s="95">
        <f>'DOE25'!G14</f>
        <v>2160</v>
      </c>
      <c r="E13" s="95">
        <f>'DOE25'!H14</f>
        <v>325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19835.28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879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1213493.7000000002</v>
      </c>
      <c r="D18" s="41">
        <f>SUM(D8:D17)</f>
        <v>152519.88999999998</v>
      </c>
      <c r="E18" s="41">
        <f>SUM(E8:E17)</f>
        <v>178330.15</v>
      </c>
      <c r="F18" s="41">
        <f>SUM(F8:F17)</f>
        <v>127321.45</v>
      </c>
      <c r="G18" s="41">
        <f>SUM(G8:G17)</f>
        <v>215490.16999999998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189736.31</v>
      </c>
      <c r="D21" s="95">
        <f>'DOE25'!G22</f>
        <v>0</v>
      </c>
      <c r="E21" s="95">
        <f>'DOE25'!H22</f>
        <v>59583.8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413.15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34817.050000000003</v>
      </c>
      <c r="D23" s="95">
        <f>'DOE25'!G24</f>
        <v>0</v>
      </c>
      <c r="E23" s="95">
        <f>'DOE25'!H24</f>
        <v>1321</v>
      </c>
      <c r="F23" s="95">
        <f>'DOE25'!I24</f>
        <v>330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5000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9142.92</v>
      </c>
      <c r="D29" s="95">
        <f>'DOE25'!G30</f>
        <v>31439.19</v>
      </c>
      <c r="E29" s="95">
        <f>'DOE25'!H30</f>
        <v>75215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234109.43000000002</v>
      </c>
      <c r="D31" s="41">
        <f>SUM(D21:D30)</f>
        <v>31439.19</v>
      </c>
      <c r="E31" s="41">
        <f>SUM(E21:E30)</f>
        <v>136119.79999999999</v>
      </c>
      <c r="F31" s="41">
        <f>SUM(F21:F30)</f>
        <v>5330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19835.28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101245.42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42210.35</v>
      </c>
      <c r="F46" s="95">
        <f>'DOE25'!I47</f>
        <v>9669.02</v>
      </c>
      <c r="G46" s="95">
        <f>'DOE25'!J47</f>
        <v>215490.16999999998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397624.49</v>
      </c>
      <c r="D47" s="95">
        <f>'DOE25'!G48</f>
        <v>0</v>
      </c>
      <c r="E47" s="95">
        <f>'DOE25'!H48</f>
        <v>0</v>
      </c>
      <c r="F47" s="95">
        <f>'DOE25'!I48</f>
        <v>112322.43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581759.78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979384.27</v>
      </c>
      <c r="D49" s="41">
        <f>SUM(D34:D48)</f>
        <v>121080.7</v>
      </c>
      <c r="E49" s="41">
        <f>SUM(E34:E48)</f>
        <v>42210.35</v>
      </c>
      <c r="F49" s="41">
        <f>SUM(F34:F48)</f>
        <v>121991.45</v>
      </c>
      <c r="G49" s="41">
        <f>SUM(G34:G48)</f>
        <v>215490.16999999998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1213493.7</v>
      </c>
      <c r="D50" s="41">
        <f>D49+D31</f>
        <v>152519.88999999998</v>
      </c>
      <c r="E50" s="41">
        <f>E49+E31</f>
        <v>178330.15</v>
      </c>
      <c r="F50" s="41">
        <f>F49+F31</f>
        <v>127321.45</v>
      </c>
      <c r="G50" s="41">
        <f>G49+G31</f>
        <v>215490.16999999998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32417117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96372.2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1378.63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57.31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719059.97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181592.3</v>
      </c>
      <c r="D60" s="95">
        <f>SUM('DOE25'!G97:G109)</f>
        <v>0</v>
      </c>
      <c r="E60" s="95">
        <f>SUM('DOE25'!H97:H109)</f>
        <v>33638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182970.93</v>
      </c>
      <c r="D61" s="130">
        <f>SUM(D56:D60)</f>
        <v>719059.97</v>
      </c>
      <c r="E61" s="130">
        <f>SUM(E56:E60)</f>
        <v>130010.2</v>
      </c>
      <c r="F61" s="130">
        <f>SUM(F56:F60)</f>
        <v>0</v>
      </c>
      <c r="G61" s="130">
        <f>SUM(G56:G60)</f>
        <v>57.31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32600087.93</v>
      </c>
      <c r="D62" s="22">
        <f>D55+D61</f>
        <v>719059.97</v>
      </c>
      <c r="E62" s="22">
        <f>E55+E61</f>
        <v>130010.2</v>
      </c>
      <c r="F62" s="22">
        <f>F55+F61</f>
        <v>0</v>
      </c>
      <c r="G62" s="22">
        <f>G55+G61</f>
        <v>57.31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2393584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4979627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7373211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962986.4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298425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444358.84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4444.6000000000004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1856</v>
      </c>
      <c r="D76" s="95">
        <f>SUM('DOE25'!G130:G134)</f>
        <v>10054.370000000001</v>
      </c>
      <c r="E76" s="95">
        <f>SUM('DOE25'!H130:H134)</f>
        <v>9585.06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1712070.84</v>
      </c>
      <c r="D77" s="130">
        <f>SUM(D71:D76)</f>
        <v>10054.370000000001</v>
      </c>
      <c r="E77" s="130">
        <f>SUM(E71:E76)</f>
        <v>9585.06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9085281.8399999999</v>
      </c>
      <c r="D80" s="130">
        <f>SUM(D78:D79)+D77+D69</f>
        <v>10054.370000000001</v>
      </c>
      <c r="E80" s="130">
        <f>SUM(E78:E79)+E77+E69</f>
        <v>9585.06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114884.89</v>
      </c>
      <c r="D87" s="95">
        <f>SUM('DOE25'!G152:G160)</f>
        <v>159767.85999999999</v>
      </c>
      <c r="E87" s="95">
        <f>SUM('DOE25'!H152:H160)</f>
        <v>675763.46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114884.89</v>
      </c>
      <c r="D90" s="131">
        <f>SUM(D84:D89)</f>
        <v>159767.85999999999</v>
      </c>
      <c r="E90" s="131">
        <f>SUM(E84:E89)</f>
        <v>675763.46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4520.26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1.94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4522.2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41804776.859999999</v>
      </c>
      <c r="D103" s="86">
        <f>D62+D80+D90+D102</f>
        <v>888882.2</v>
      </c>
      <c r="E103" s="86">
        <f>E62+E80+E90+E102</f>
        <v>815358.72</v>
      </c>
      <c r="F103" s="86">
        <f>F62+F80+F90+F102</f>
        <v>0</v>
      </c>
      <c r="G103" s="86">
        <f>G62+G80+G102</f>
        <v>57.31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16246898.780000001</v>
      </c>
      <c r="D108" s="24" t="s">
        <v>289</v>
      </c>
      <c r="E108" s="95">
        <f>('DOE25'!L275)+('DOE25'!L294)+('DOE25'!L313)</f>
        <v>167038.54999999999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6536969.3000000007</v>
      </c>
      <c r="D109" s="24" t="s">
        <v>289</v>
      </c>
      <c r="E109" s="95">
        <f>('DOE25'!L276)+('DOE25'!L295)+('DOE25'!L314)</f>
        <v>498989.91999999993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998250.22000000009</v>
      </c>
      <c r="D111" s="24" t="s">
        <v>289</v>
      </c>
      <c r="E111" s="95">
        <f>+('DOE25'!L278)+('DOE25'!L297)+('DOE25'!L316)</f>
        <v>90841.39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23782118.300000001</v>
      </c>
      <c r="D114" s="86">
        <f>SUM(D108:D113)</f>
        <v>0</v>
      </c>
      <c r="E114" s="86">
        <f>SUM(E108:E113)</f>
        <v>756869.86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3291811.9600000004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2029265.98</v>
      </c>
      <c r="D118" s="24" t="s">
        <v>289</v>
      </c>
      <c r="E118" s="95">
        <f>+('DOE25'!L281)+('DOE25'!L300)+('DOE25'!L319)</f>
        <v>31453.61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998222.3600000001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1585668.9699999997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3336885.17</v>
      </c>
      <c r="D122" s="24" t="s">
        <v>289</v>
      </c>
      <c r="E122" s="95">
        <f>+('DOE25'!L285)+('DOE25'!L304)+('DOE25'!L323)</f>
        <v>9585.07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2187584.0099999998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79860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773987.5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13509298.450000001</v>
      </c>
      <c r="D127" s="86">
        <f>SUM(D117:D126)</f>
        <v>773987.5</v>
      </c>
      <c r="E127" s="86">
        <f>SUM(E117:E126)</f>
        <v>41038.68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124710.08</v>
      </c>
      <c r="D129" s="24" t="s">
        <v>289</v>
      </c>
      <c r="E129" s="129">
        <f>'DOE25'!L335</f>
        <v>0</v>
      </c>
      <c r="F129" s="129">
        <f>SUM('DOE25'!L373:'DOE25'!L379)</f>
        <v>206802.85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2955000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1148162.5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4520.26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51.93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5.38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-57.31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4227872.58</v>
      </c>
      <c r="D143" s="141">
        <f>SUM(D129:D142)</f>
        <v>0</v>
      </c>
      <c r="E143" s="141">
        <f>SUM(E129:E142)</f>
        <v>4520.26</v>
      </c>
      <c r="F143" s="141">
        <f>SUM(F129:F142)</f>
        <v>206802.85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41519289.329999998</v>
      </c>
      <c r="D144" s="86">
        <f>(D114+D127+D143)</f>
        <v>773987.5</v>
      </c>
      <c r="E144" s="86">
        <f>(E114+E127+E143)</f>
        <v>802428.8</v>
      </c>
      <c r="F144" s="86">
        <f>(F114+F127+F143)</f>
        <v>206802.85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06/05</v>
      </c>
      <c r="C151" s="152" t="str">
        <f>'DOE25'!G490</f>
        <v>06/08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07/25</v>
      </c>
      <c r="C152" s="152" t="str">
        <f>'DOE25'!G491</f>
        <v>06/18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42753296</v>
      </c>
      <c r="C153" s="137">
        <f>'DOE25'!G492</f>
        <v>4000000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3.92</v>
      </c>
      <c r="C154" s="137">
        <f>'DOE25'!G493</f>
        <v>3.69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27275000</v>
      </c>
      <c r="C155" s="137">
        <f>'DOE25'!G494</f>
        <v>2615000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29890000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2580000</v>
      </c>
      <c r="C157" s="137">
        <f>'DOE25'!G496</f>
        <v>375000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2955000</v>
      </c>
    </row>
    <row r="158" spans="1:9" x14ac:dyDescent="0.2">
      <c r="A158" s="22" t="s">
        <v>35</v>
      </c>
      <c r="B158" s="137">
        <f>'DOE25'!F497</f>
        <v>24695000</v>
      </c>
      <c r="C158" s="137">
        <f>'DOE25'!G497</f>
        <v>2240000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26935000</v>
      </c>
    </row>
    <row r="159" spans="1:9" x14ac:dyDescent="0.2">
      <c r="A159" s="22" t="s">
        <v>36</v>
      </c>
      <c r="B159" s="137">
        <f>'DOE25'!F498</f>
        <v>5925405.8799999999</v>
      </c>
      <c r="C159" s="137">
        <f>'DOE25'!G498</f>
        <v>351750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6277155.8799999999</v>
      </c>
    </row>
    <row r="160" spans="1:9" x14ac:dyDescent="0.2">
      <c r="A160" s="22" t="s">
        <v>37</v>
      </c>
      <c r="B160" s="137">
        <f>'DOE25'!F499</f>
        <v>30620405.879999999</v>
      </c>
      <c r="C160" s="137">
        <f>'DOE25'!G499</f>
        <v>2591750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33212155.879999999</v>
      </c>
    </row>
    <row r="161" spans="1:7" x14ac:dyDescent="0.2">
      <c r="A161" s="22" t="s">
        <v>38</v>
      </c>
      <c r="B161" s="137">
        <f>'DOE25'!F500</f>
        <v>2575000</v>
      </c>
      <c r="C161" s="137">
        <f>'DOE25'!G500</f>
        <v>375000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2950000</v>
      </c>
    </row>
    <row r="162" spans="1:7" x14ac:dyDescent="0.2">
      <c r="A162" s="22" t="s">
        <v>39</v>
      </c>
      <c r="B162" s="137">
        <f>'DOE25'!F501</f>
        <v>924533.25</v>
      </c>
      <c r="C162" s="137">
        <f>'DOE25'!G501</f>
        <v>107756.25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1032289.5</v>
      </c>
    </row>
    <row r="163" spans="1:7" x14ac:dyDescent="0.2">
      <c r="A163" s="22" t="s">
        <v>246</v>
      </c>
      <c r="B163" s="137">
        <f>'DOE25'!F502</f>
        <v>3499533.25</v>
      </c>
      <c r="C163" s="137">
        <f>'DOE25'!G502</f>
        <v>482756.25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3982289.5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G44" sqref="G4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Windham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11967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14418</v>
      </c>
    </row>
    <row r="7" spans="1:4" x14ac:dyDescent="0.2">
      <c r="B7" t="s">
        <v>705</v>
      </c>
      <c r="C7" s="179">
        <f>IF('DOE25'!I664+'DOE25'!I669=0,0,ROUND('DOE25'!I671,0))</f>
        <v>12632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16413937</v>
      </c>
      <c r="D10" s="182">
        <f>ROUND((C10/$C$28)*100,1)</f>
        <v>41.8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7035959</v>
      </c>
      <c r="D11" s="182">
        <f>ROUND((C11/$C$28)*100,1)</f>
        <v>17.899999999999999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1089092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3291812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2060720</v>
      </c>
      <c r="D16" s="182">
        <f t="shared" si="0"/>
        <v>5.2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1078082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1585669</v>
      </c>
      <c r="D18" s="182">
        <f t="shared" si="0"/>
        <v>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3346470</v>
      </c>
      <c r="D20" s="182">
        <f t="shared" si="0"/>
        <v>8.5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2187584</v>
      </c>
      <c r="D21" s="182">
        <f t="shared" si="0"/>
        <v>5.6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1148163</v>
      </c>
      <c r="D25" s="182">
        <f t="shared" si="0"/>
        <v>2.9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54928.030000000028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39292416.030000001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331513</v>
      </c>
    </row>
    <row r="30" spans="1:4" x14ac:dyDescent="0.2">
      <c r="B30" s="187" t="s">
        <v>729</v>
      </c>
      <c r="C30" s="180">
        <f>SUM(C28:C29)</f>
        <v>39623929.030000001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2955000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32417117</v>
      </c>
      <c r="D35" s="182">
        <f t="shared" ref="D35:D40" si="1">ROUND((C35/$C$41)*100,1)</f>
        <v>75.8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313038.43999999762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7373211</v>
      </c>
      <c r="D37" s="182">
        <f t="shared" si="1"/>
        <v>17.2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1731710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950416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42785492.439999998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G44" sqref="G44"/>
      <selection pane="bottomLeft" activeCell="C44" sqref="C44:M4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Windham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5</v>
      </c>
      <c r="B4" s="219">
        <v>11</v>
      </c>
      <c r="C4" s="284" t="s">
        <v>913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2013-09-06T11:57:06Z</cp:lastPrinted>
  <dcterms:created xsi:type="dcterms:W3CDTF">1997-12-04T19:04:30Z</dcterms:created>
  <dcterms:modified xsi:type="dcterms:W3CDTF">2013-12-05T19:02:30Z</dcterms:modified>
</cp:coreProperties>
</file>