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735" yWindow="105" windowWidth="23220" windowHeight="114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3" i="1" l="1"/>
  <c r="C10" i="12" l="1"/>
  <c r="C12" i="12"/>
  <c r="C11" i="12"/>
  <c r="C19" i="12"/>
  <c r="C21" i="12"/>
  <c r="C20" i="12"/>
  <c r="G532" i="1"/>
  <c r="G232" i="1"/>
  <c r="G238" i="1"/>
  <c r="G235" i="1"/>
  <c r="J590" i="1" l="1"/>
  <c r="J592" i="1"/>
  <c r="B12" i="12" l="1"/>
  <c r="B10" i="12"/>
  <c r="B20" i="12"/>
  <c r="B19" i="12"/>
  <c r="B21" i="12"/>
  <c r="G313" i="1"/>
  <c r="G314" i="1"/>
  <c r="J313" i="1"/>
  <c r="H154" i="1"/>
  <c r="H158" i="1"/>
  <c r="B39" i="12"/>
  <c r="F109" i="1"/>
  <c r="F532" i="1"/>
  <c r="K235" i="1"/>
  <c r="I238" i="1"/>
  <c r="I237" i="1"/>
  <c r="I235" i="1"/>
  <c r="J242" i="1"/>
  <c r="J238" i="1"/>
  <c r="H242" i="1"/>
  <c r="H239" i="1"/>
  <c r="H238" i="1"/>
  <c r="H237" i="1"/>
  <c r="F242" i="1"/>
  <c r="F238" i="1"/>
  <c r="F237" i="1"/>
  <c r="F235" i="1"/>
  <c r="F100" i="1"/>
  <c r="F12" i="1"/>
  <c r="F9" i="1"/>
  <c r="J467" i="1"/>
  <c r="H366" i="1" l="1"/>
  <c r="I359" i="1"/>
  <c r="H359" i="1"/>
  <c r="G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3" i="10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C35" i="10"/>
  <c r="L308" i="1"/>
  <c r="E16" i="13"/>
  <c r="C16" i="13" s="1"/>
  <c r="C49" i="2"/>
  <c r="C50" i="2" s="1"/>
  <c r="J654" i="1"/>
  <c r="J644" i="1"/>
  <c r="L569" i="1"/>
  <c r="I570" i="1"/>
  <c r="I544" i="1"/>
  <c r="J635" i="1"/>
  <c r="G36" i="2"/>
  <c r="L564" i="1"/>
  <c r="G544" i="1"/>
  <c r="H544" i="1"/>
  <c r="C22" i="13"/>
  <c r="C137" i="2"/>
  <c r="H33" i="13"/>
  <c r="F666" i="1"/>
  <c r="K550" i="1" l="1"/>
  <c r="K551" i="1" s="1"/>
  <c r="L523" i="1"/>
  <c r="L544" i="1" s="1"/>
  <c r="C15" i="10"/>
  <c r="E33" i="13"/>
  <c r="D35" i="13" s="1"/>
  <c r="D5" i="13"/>
  <c r="C5" i="13" s="1"/>
  <c r="H659" i="1"/>
  <c r="H663" i="1" s="1"/>
  <c r="H666" i="1" s="1"/>
  <c r="J639" i="1"/>
  <c r="G622" i="1"/>
  <c r="J622" i="1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D31" i="13" l="1"/>
  <c r="C31" i="13" s="1"/>
  <c r="H671" i="1"/>
  <c r="C6" i="10" s="1"/>
  <c r="C28" i="10"/>
  <c r="D23" i="10" s="1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12" i="10" l="1"/>
  <c r="D16" i="10"/>
  <c r="D19" i="10"/>
  <c r="D22" i="10"/>
  <c r="D24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<sst xmlns="http://schemas.openxmlformats.org/spreadsheetml/2006/main" count="3951" uniqueCount="915">
  <si>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</si>
  <si>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</si>
  <si>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</si>
  <si>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</si>
  <si>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</si>
  <si>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</si>
  <si>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</si>
  <si>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</si>
  <si>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</si>
  <si>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</si>
  <si>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</si>
  <si>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</si>
  <si>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</si>
  <si>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</si>
  <si>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</si>
  <si>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</si>
  <si>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</si>
  <si>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</si>
  <si>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</si>
  <si>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</si>
  <si>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</si>
  <si>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</si>
  <si>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</si>
  <si>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</si>
  <si>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</si>
  <si>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</si>
  <si>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</si>
  <si>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</si>
  <si>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</si>
  <si>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</si>
  <si>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</si>
  <si>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</si>
  <si>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</si>
  <si>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</si>
  <si>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</si>
  <si>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</si>
  <si>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</si>
  <si>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</si>
  <si>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</si>
  <si>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</si>
  <si>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</si>
  <si>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</si>
  <si>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</si>
  <si>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</si>
  <si>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</si>
  <si>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</si>
  <si>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</si>
  <si>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</si>
  <si>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</si>
  <si>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</si>
  <si>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</si>
  <si>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</si>
  <si>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</si>
  <si>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</si>
  <si>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</si>
  <si>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</si>
  <si>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</si>
  <si>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</si>
  <si>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</si>
  <si>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</si>
  <si>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</si>
  <si>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</si>
  <si>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</si>
  <si>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</si>
  <si>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</si>
  <si>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</si>
  <si>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</si>
  <si>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</si>
  <si>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</si>
  <si>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</si>
  <si>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</si>
  <si>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</si>
  <si>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</si>
  <si>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</si>
  <si>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</si>
  <si>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</si>
  <si>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</si>
  <si>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</si>
  <si>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</si>
  <si>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</si>
  <si>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</si>
  <si>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</si>
  <si>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</si>
  <si>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</si>
  <si>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</si>
  <si>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</si>
  <si>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</si>
  <si>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</si>
  <si>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</si>
  <si>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</si>
  <si>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</si>
  <si>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</si>
  <si>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</si>
  <si>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</si>
  <si>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</si>
  <si>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</si>
  <si>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</si>
  <si>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</si>
  <si>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</si>
  <si>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</si>
  <si>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</si>
  <si>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</si>
  <si>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</si>
  <si>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</si>
  <si>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</si>
  <si>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</si>
  <si>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</si>
  <si>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</si>
  <si>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</si>
  <si>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</si>
  <si>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</si>
  <si>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</si>
  <si>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</si>
  <si>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</si>
  <si>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</si>
  <si>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</si>
  <si>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</si>
  <si>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</si>
  <si>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</si>
  <si>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</si>
  <si>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</si>
  <si>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</si>
  <si>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</si>
  <si>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</si>
  <si>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</si>
  <si>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</si>
  <si>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</si>
  <si>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</si>
  <si>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</si>
  <si>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</si>
  <si>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</si>
  <si>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</si>
  <si>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</si>
  <si>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</si>
  <si>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</si>
  <si>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</si>
  <si>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</si>
  <si>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</si>
  <si>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</si>
  <si>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</si>
  <si>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</si>
  <si>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</si>
  <si>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</si>
  <si>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</si>
  <si>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</si>
  <si>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</si>
  <si>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</si>
  <si>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</si>
  <si>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</si>
  <si>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</si>
  <si>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</si>
  <si>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</si>
  <si>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</si>
  <si>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</si>
  <si>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</si>
  <si>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</si>
  <si>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</si>
  <si>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</si>
  <si>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</si>
  <si>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</si>
  <si>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</si>
  <si>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</si>
  <si>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</si>
  <si>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</si>
  <si>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</si>
  <si>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</si>
  <si>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</si>
  <si>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</si>
  <si>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</si>
  <si>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</si>
  <si>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</si>
  <si>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</si>
  <si>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</si>
  <si>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</si>
  <si>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</si>
  <si>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</si>
  <si>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</si>
  <si>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</si>
  <si>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</si>
  <si>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</si>
  <si>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</si>
  <si>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</si>
  <si>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</si>
  <si>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</si>
  <si>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</si>
  <si>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</si>
  <si>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</si>
  <si>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</si>
  <si>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</si>
  <si>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</si>
  <si>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</si>
  <si>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</si>
  <si>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</si>
  <si>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</si>
  <si>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</si>
  <si>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</si>
  <si>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</si>
  <si>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</si>
  <si>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</si>
  <si>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</si>
  <si>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</si>
  <si>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</si>
  <si>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</si>
  <si>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</si>
  <si>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</si>
  <si>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</si>
  <si>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</si>
  <si>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</si>
  <si>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</si>
  <si>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</si>
  <si>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</si>
  <si>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</si>
  <si>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</si>
  <si>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</si>
  <si>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</si>
  <si>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</si>
  <si>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</si>
  <si>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</si>
  <si>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</si>
  <si>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</si>
  <si>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</si>
  <si>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</si>
  <si>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</si>
  <si>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</si>
  <si>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</si>
  <si>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</si>
  <si>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</si>
  <si>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</si>
  <si>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</si>
  <si>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</si>
  <si>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</si>
  <si>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</si>
  <si>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</si>
  <si>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</si>
  <si>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</si>
  <si>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</si>
  <si>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</si>
  <si>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</si>
  <si>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</si>
  <si>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</si>
  <si>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</si>
  <si>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</si>
  <si>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</si>
  <si>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</si>
  <si>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</si>
  <si>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</si>
  <si>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</si>
  <si>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</si>
  <si>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</si>
  <si>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</si>
  <si>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</si>
  <si>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</si>
  <si>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</si>
  <si>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</si>
  <si>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</si>
  <si>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</si>
  <si>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</si>
  <si>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</si>
  <si>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</si>
  <si>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</si>
  <si>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</si>
  <si>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</si>
  <si>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</si>
  <si>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</si>
  <si>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</si>
  <si>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</si>
  <si>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</si>
  <si>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</si>
  <si>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</si>
  <si>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</si>
  <si>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</si>
  <si>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</si>
  <si>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</si>
  <si>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</si>
  <si>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</si>
  <si>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</si>
  <si>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</si>
  <si>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</si>
  <si>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</si>
  <si>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</si>
  <si>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</si>
  <si>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</si>
  <si>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</si>
  <si>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</si>
  <si>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</si>
  <si>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</si>
  <si>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</si>
  <si>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</si>
  <si>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</si>
  <si>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</si>
  <si>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</si>
  <si>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</si>
  <si>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</si>
  <si>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</si>
  <si>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</si>
  <si>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</si>
  <si>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</si>
  <si>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</si>
  <si>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</si>
  <si>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</si>
  <si>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</si>
  <si>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</si>
  <si>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</si>
  <si>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</si>
  <si>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</si>
  <si>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</si>
  <si>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</si>
  <si>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</si>
  <si>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</si>
  <si>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</si>
  <si>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</si>
  <si>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</si>
  <si>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</si>
  <si>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</si>
  <si>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</si>
  <si>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</si>
  <si>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</si>
  <si>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</si>
  <si>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</si>
  <si>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</si>
  <si>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</si>
  <si>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</si>
  <si>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</si>
  <si>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</si>
  <si>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</si>
  <si>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</si>
  <si>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</si>
  <si>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</si>
  <si>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</si>
  <si>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</si>
  <si>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</si>
  <si>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</si>
  <si>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</si>
  <si>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</si>
  <si>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</si>
  <si>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</si>
  <si>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</si>
  <si>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</si>
  <si>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</si>
  <si>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</si>
  <si>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</si>
  <si>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</si>
  <si>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</si>
  <si>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</si>
  <si>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</si>
  <si>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</si>
  <si>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</si>
  <si>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</si>
  <si>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</si>
  <si>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</si>
  <si>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</si>
  <si>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</si>
  <si>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</si>
  <si>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</si>
  <si>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</si>
  <si>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</si>
  <si>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</si>
  <si>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</si>
  <si>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</si>
  <si>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</si>
  <si>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</si>
  <si>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</si>
  <si>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</si>
  <si>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</si>
  <si>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</si>
  <si>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</si>
  <si>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</si>
  <si>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</si>
  <si>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</si>
  <si>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</si>
  <si>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</si>
  <si>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</si>
  <si>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</si>
  <si>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</si>
  <si>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</si>
  <si>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</si>
  <si>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</si>
  <si>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</si>
  <si>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</si>
  <si>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</si>
  <si>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</si>
  <si>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</si>
  <si>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</si>
  <si>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</si>
  <si>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</si>
  <si>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</si>
  <si>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</si>
  <si>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</si>
  <si>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</si>
  <si>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</si>
  <si>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</si>
  <si>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</si>
  <si>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</si>
  <si>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</si>
  <si>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</si>
  <si>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</si>
  <si>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</si>
  <si>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</si>
  <si>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</si>
  <si>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</si>
  <si>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</si>
  <si>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</si>
  <si>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</si>
  <si>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</si>
  <si>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</si>
  <si>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</si>
  <si>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</si>
  <si>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</si>
  <si>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</si>
  <si>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</si>
  <si>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</si>
  <si>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</si>
  <si>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</si>
  <si>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</si>
  <si>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</si>
  <si>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</si>
  <si>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</si>
  <si>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</si>
  <si>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</si>
  <si>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</si>
  <si>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</si>
  <si>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</si>
  <si>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</si>
  <si>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</si>
  <si>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</si>
  <si>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</si>
  <si>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</si>
  <si>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</si>
  <si>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</si>
  <si>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</si>
  <si>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</si>
  <si>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</si>
  <si>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</si>
  <si>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</si>
  <si>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</si>
  <si>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</si>
  <si>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</si>
  <si>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</si>
  <si>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</si>
  <si>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</si>
  <si>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</si>
  <si>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</si>
  <si>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</si>
  <si>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</si>
  <si>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</si>
  <si>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</si>
  <si>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</si>
  <si>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</si>
  <si>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</si>
  <si>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</si>
  <si>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</si>
  <si>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</si>
  <si>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</si>
  <si>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</si>
  <si>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</si>
  <si>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</si>
  <si>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</si>
  <si>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</si>
  <si>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</si>
  <si>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</si>
  <si>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</si>
  <si>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</si>
  <si>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</si>
  <si>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</si>
  <si>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</si>
  <si>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</si>
  <si>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</si>
  <si>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</si>
  <si>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</si>
  <si>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</si>
  <si>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</si>
  <si>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</si>
  <si>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</si>
  <si>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</si>
  <si>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</si>
  <si>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</si>
  <si>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</si>
  <si>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</si>
  <si>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</si>
  <si>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</si>
  <si>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</si>
  <si>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</si>
  <si>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</si>
  <si>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</si>
  <si>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</si>
  <si>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</si>
  <si>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</si>
  <si>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</si>
  <si>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</si>
  <si>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</si>
  <si>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</si>
  <si>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</si>
  <si>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</si>
  <si>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</si>
  <si>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</si>
  <si>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</si>
  <si>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</si>
  <si>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</si>
  <si>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</si>
  <si>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</si>
  <si>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</si>
  <si>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</si>
  <si>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</si>
  <si>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</si>
  <si>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</si>
  <si>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</si>
  <si>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</si>
  <si>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</si>
  <si>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</si>
  <si>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</si>
  <si>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</si>
  <si>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</si>
  <si>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</si>
  <si>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</si>
  <si>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</si>
  <si>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</si>
  <si>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</si>
  <si>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</si>
  <si>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</si>
  <si>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</si>
  <si>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</si>
  <si>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</si>
  <si>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</si>
  <si>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</si>
  <si>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</si>
  <si>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</si>
  <si>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</si>
  <si>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</si>
  <si>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</si>
  <si>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</si>
  <si>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</si>
  <si>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</si>
  <si>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</si>
  <si>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</si>
  <si>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</si>
  <si>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</si>
  <si>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</si>
  <si>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</si>
  <si>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</si>
  <si>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</si>
  <si>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</si>
  <si>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</si>
  <si>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</si>
  <si>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</si>
  <si>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</si>
  <si>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</si>
  <si>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</si>
  <si>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</si>
  <si>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</si>
  <si>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</si>
  <si>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</si>
  <si>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</si>
  <si>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</si>
  <si>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</si>
  <si>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</si>
  <si>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</si>
  <si>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</si>
  <si>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</si>
  <si>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</si>
  <si>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</si>
  <si>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</si>
  <si>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</si>
  <si>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</si>
  <si>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</si>
  <si>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</si>
  <si>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</si>
  <si>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</si>
  <si>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</si>
  <si>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</si>
  <si>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</si>
  <si>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</si>
  <si>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</si>
  <si>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</si>
  <si>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</si>
  <si>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</si>
  <si>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</si>
  <si>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</si>
  <si>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</si>
  <si>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</si>
  <si>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</si>
  <si>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</si>
  <si>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</si>
  <si>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</si>
  <si>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</si>
  <si>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</si>
  <si>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</si>
  <si>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</si>
  <si>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</si>
  <si>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</si>
  <si>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</si>
  <si>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</si>
  <si>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</si>
  <si>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</si>
  <si>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</si>
  <si>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</si>
  <si>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</si>
  <si>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</si>
  <si>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</si>
  <si>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</si>
  <si>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</si>
  <si>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</si>
  <si>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</si>
  <si>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</si>
  <si>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</si>
  <si>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</si>
  <si>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</si>
  <si>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</si>
  <si>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</si>
  <si>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</si>
  <si>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</si>
  <si>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</si>
  <si>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</si>
  <si>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</si>
  <si>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</si>
  <si>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</si>
  <si>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</si>
  <si>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</si>
  <si>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</si>
  <si>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</si>
  <si>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</si>
  <si>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</si>
  <si>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</si>
  <si>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</si>
  <si>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</si>
  <si>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</si>
  <si>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</si>
  <si>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</si>
  <si>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</si>
  <si>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</si>
  <si>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</si>
  <si>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</si>
  <si>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</si>
  <si>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</si>
  <si>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</si>
  <si>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</si>
  <si>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</si>
  <si>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</si>
  <si>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</si>
  <si>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</si>
  <si>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</si>
  <si>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</si>
  <si>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</si>
  <si>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</si>
  <si>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</si>
  <si>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</si>
  <si>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</si>
  <si>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</si>
  <si>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</si>
  <si>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</si>
  <si>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</si>
  <si>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</si>
  <si>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</si>
  <si>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</si>
  <si>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</si>
  <si>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</si>
  <si>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</si>
  <si>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</si>
  <si>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</si>
  <si>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</si>
  <si>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</si>
  <si>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</si>
  <si>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</si>
  <si>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</si>
  <si>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</si>
  <si>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</si>
  <si>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</si>
  <si>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</si>
  <si>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</si>
  <si>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</si>
  <si>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</si>
  <si>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</si>
  <si>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</si>
  <si>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</si>
  <si>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</si>
  <si>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</si>
  <si>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</si>
  <si>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</si>
  <si>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</si>
  <si>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</si>
  <si>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</si>
  <si>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</si>
  <si>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</si>
  <si>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</si>
  <si>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</si>
  <si>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</si>
  <si>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</si>
  <si>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</si>
  <si>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</si>
  <si>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</si>
  <si>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</si>
  <si>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</si>
  <si>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</si>
  <si>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</si>
  <si>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</si>
  <si>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</si>
  <si>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</si>
  <si>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</si>
  <si>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</si>
  <si>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</si>
  <si>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</si>
  <si>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</si>
  <si>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</si>
  <si>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</si>
  <si>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</si>
  <si>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</si>
  <si>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</si>
  <si>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</si>
  <si>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</si>
  <si>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</si>
  <si>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</si>
  <si>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</si>
  <si>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</si>
  <si>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</si>
  <si>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</si>
  <si>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</si>
  <si>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</si>
  <si>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</si>
  <si>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</si>
  <si>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</si>
  <si>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</si>
  <si>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</si>
  <si>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</si>
  <si>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</si>
  <si>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</si>
  <si>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</si>
  <si>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</si>
  <si>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</si>
  <si>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</si>
  <si>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</si>
  <si>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</si>
  <si>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</si>
  <si>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</si>
  <si>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</si>
  <si>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</si>
  <si>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</si>
  <si>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</si>
  <si>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</si>
  <si>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</si>
  <si>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</si>
  <si>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</si>
  <si>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</si>
  <si>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</si>
  <si>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</si>
  <si>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</si>
  <si>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</si>
  <si>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</si>
  <si>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</si>
  <si>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</si>
  <si>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</si>
  <si>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</si>
  <si>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</si>
  <si>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</si>
  <si>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</si>
  <si>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</si>
  <si>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</si>
  <si>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</si>
  <si>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</si>
  <si>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</si>
  <si>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</si>
  <si>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</si>
  <si>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</si>
  <si>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</si>
  <si>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</si>
  <si>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</si>
  <si>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</si>
  <si>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</si>
  <si>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</si>
  <si>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</si>
  <si>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</si>
  <si>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</si>
  <si>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</si>
  <si>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</si>
  <si>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</si>
  <si>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</si>
  <si>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</si>
  <si>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</si>
  <si>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</si>
  <si>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</si>
  <si>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</si>
  <si>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</si>
  <si>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</si>
  <si>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</si>
  <si>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</si>
  <si>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</si>
  <si>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</si>
  <si>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</si>
  <si>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</si>
  <si>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</si>
  <si>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</si>
  <si>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</si>
  <si>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</si>
  <si>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</si>
  <si>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</si>
  <si>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</si>
  <si>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</si>
  <si>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</si>
  <si>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</si>
  <si>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</si>
  <si>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</si>
  <si>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</si>
  <si>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</si>
  <si>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</si>
  <si>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</si>
  <si>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</si>
  <si>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</si>
  <si>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</si>
  <si>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</si>
  <si>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</si>
  <si>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</si>
  <si>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</si>
  <si>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</si>
  <si>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</si>
  <si>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</si>
  <si>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</si>
  <si>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</si>
  <si>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</si>
  <si>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</si>
  <si>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</si>
  <si>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</si>
  <si>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</si>
  <si>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</si>
  <si>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</si>
  <si>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</si>
  <si>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</si>
  <si>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</si>
  <si>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</si>
  <si>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</si>
  <si>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</si>
  <si>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</si>
  <si>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</si>
  <si>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</si>
  <si>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</si>
  <si>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</si>
  <si>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</si>
  <si>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</si>
  <si>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</si>
  <si>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</si>
  <si>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</si>
  <si>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</si>
  <si>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</si>
  <si>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</si>
  <si>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</si>
  <si>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</si>
  <si>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</si>
  <si>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</si>
  <si>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</si>
  <si>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</si>
  <si>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</si>
  <si>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</si>
  <si>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</si>
  <si>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</si>
  <si>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</si>
  <si>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</si>
  <si>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</si>
  <si>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</si>
  <si>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</si>
  <si>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</si>
  <si>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</si>
  <si>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</si>
  <si>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</si>
  <si>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</si>
  <si>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</si>
  <si>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</si>
  <si>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</si>
  <si>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</si>
  <si>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</si>
  <si>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</si>
  <si>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</si>
  <si>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</si>
  <si>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</si>
  <si>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</si>
  <si>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</si>
  <si>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</si>
  <si>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</si>
  <si>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</si>
  <si>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</si>
  <si>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</si>
  <si>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</si>
  <si>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</si>
  <si>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</si>
  <si>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</si>
  <si>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</si>
  <si>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</si>
  <si>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</si>
  <si>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</si>
  <si>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</si>
  <si>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</si>
  <si>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</si>
  <si>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</si>
  <si>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</si>
  <si>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</si>
  <si>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</si>
  <si>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</si>
  <si>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</si>
  <si>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</si>
  <si>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</si>
  <si>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</si>
  <si>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</si>
  <si>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</si>
  <si>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</si>
  <si>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</si>
  <si>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</si>
  <si>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</si>
  <si>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</si>
  <si>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</si>
  <si>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</si>
  <si>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</si>
  <si>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</si>
  <si>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</si>
  <si>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WINNACUNNET</t>
  </si>
  <si>
    <t>Negative amount in Other Income is for Fair Market Value Loss</t>
  </si>
  <si>
    <t>Impact Fees Received from Town of Hampton to Reduce Hampton Assessment to Winnacunnet</t>
  </si>
  <si>
    <t xml:space="preserve">Auditor's Adjusting Entry 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</si>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</sst>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581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773937.49</f>
        <v>773937.49</v>
      </c>
      <c r="G9" s="18">
        <v>200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34030.339999999997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62001.16-154614.74</f>
        <v>-92613.579999999987</v>
      </c>
      <c r="G12" s="18">
        <v>154614.74</v>
      </c>
      <c r="H12" s="18"/>
      <c r="I12" s="18"/>
      <c r="J12" s="67">
        <f>SUM(I440)</f>
        <v>392295.32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8450.5400000000009</v>
      </c>
      <c r="G13" s="18">
        <v>7422.05</v>
      </c>
      <c r="H13" s="18">
        <v>62001.16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8892.7999999999993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732697.59000000008</v>
      </c>
      <c r="G19" s="41">
        <f>SUM(G9:G18)</f>
        <v>162236.78999999998</v>
      </c>
      <c r="H19" s="41">
        <f>SUM(H9:H18)</f>
        <v>62001.16</v>
      </c>
      <c r="I19" s="41">
        <f>SUM(I9:I18)</f>
        <v>0</v>
      </c>
      <c r="J19" s="41">
        <f>SUM(J9:J18)</f>
        <v>392295.32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62001.16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125559.65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284.95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80268.960000000006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9093.15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206113.56</v>
      </c>
      <c r="G32" s="41">
        <f>SUM(G22:G31)</f>
        <v>9093.15</v>
      </c>
      <c r="H32" s="41">
        <f>SUM(H22:H31)</f>
        <v>62001.16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152743.64000000001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6463.89</v>
      </c>
      <c r="G47" s="18"/>
      <c r="H47" s="18"/>
      <c r="I47" s="18"/>
      <c r="J47" s="13">
        <f>SUM(I458)</f>
        <v>392295.32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134955.31</v>
      </c>
      <c r="G48" s="18">
        <v>400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195164.83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526584.03</v>
      </c>
      <c r="G50" s="41">
        <f>SUM(G35:G49)</f>
        <v>153143.64000000001</v>
      </c>
      <c r="H50" s="41">
        <f>SUM(H35:H49)</f>
        <v>0</v>
      </c>
      <c r="I50" s="41">
        <f>SUM(I35:I49)</f>
        <v>0</v>
      </c>
      <c r="J50" s="41">
        <f>SUM(J35:J49)</f>
        <v>392295.32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732697.59000000008</v>
      </c>
      <c r="G51" s="41">
        <f>G50+G32</f>
        <v>162236.79</v>
      </c>
      <c r="H51" s="41">
        <f>H50+H32</f>
        <v>62001.16</v>
      </c>
      <c r="I51" s="41">
        <f>I50+I32</f>
        <v>0</v>
      </c>
      <c r="J51" s="41">
        <f>J50+J32</f>
        <v>392295.32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14833871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107244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14941115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2632.5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2632.5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6308.64</v>
      </c>
      <c r="G95" s="18"/>
      <c r="H95" s="18"/>
      <c r="I95" s="18"/>
      <c r="J95" s="18">
        <v>254.18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422574.57-29.55-286.1</f>
        <v>422258.92000000004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14322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3000+5650</f>
        <v>8650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2769.36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14333.76+33900.87+14.62+33068.19+7613-483.13</f>
        <v>88447.31</v>
      </c>
      <c r="G109" s="18"/>
      <c r="H109" s="18"/>
      <c r="I109" s="18"/>
      <c r="J109" s="18">
        <v>-7486.49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120497.31</v>
      </c>
      <c r="G110" s="41">
        <f>SUM(G95:G109)</f>
        <v>422258.92000000004</v>
      </c>
      <c r="H110" s="41">
        <f>SUM(H95:H109)</f>
        <v>0</v>
      </c>
      <c r="I110" s="41">
        <f>SUM(I95:I109)</f>
        <v>0</v>
      </c>
      <c r="J110" s="41">
        <f>SUM(J95:J109)</f>
        <v>-7232.3099999999995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15064244.810000001</v>
      </c>
      <c r="G111" s="41">
        <f>G59+G110</f>
        <v>422258.92000000004</v>
      </c>
      <c r="H111" s="41">
        <f>H59+H78+H93+H110</f>
        <v>0</v>
      </c>
      <c r="I111" s="41">
        <f>I59+I110</f>
        <v>0</v>
      </c>
      <c r="J111" s="41">
        <f>J59+J110</f>
        <v>-7232.3099999999995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558570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4423591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1856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4984017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599839.18000000005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279786.11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14850.6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4693.79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894475.89</v>
      </c>
      <c r="G135" s="41">
        <f>SUM(G122:G134)</f>
        <v>4693.79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5878492.8899999997</v>
      </c>
      <c r="G139" s="41">
        <f>G120+SUM(G135:G136)</f>
        <v>4693.79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178924.08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131598.96+57.03</f>
        <v>131655.99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106227.64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245618.38-59.48</f>
        <v>245558.9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96431.12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22105.89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96431.12</v>
      </c>
      <c r="G161" s="41">
        <f>SUM(G149:G160)</f>
        <v>128333.53</v>
      </c>
      <c r="H161" s="41">
        <f>SUM(H149:H160)</f>
        <v>556138.97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96431.12</v>
      </c>
      <c r="G168" s="41">
        <f>G146+G161+SUM(G162:G167)</f>
        <v>128333.53</v>
      </c>
      <c r="H168" s="41">
        <f>H146+H161+SUM(H162:H167)</f>
        <v>556138.97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21039168.82</v>
      </c>
      <c r="G192" s="47">
        <f>G111+G139+G168+G191</f>
        <v>555286.24</v>
      </c>
      <c r="H192" s="47">
        <f>H111+H139+H168+H191</f>
        <v>556138.97</v>
      </c>
      <c r="I192" s="47">
        <f>I111+I139+I168+I191</f>
        <v>0</v>
      </c>
      <c r="J192" s="47">
        <f>J111+J139+J191</f>
        <v>67767.69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5805902.0999999996</v>
      </c>
      <c r="G232" s="18">
        <f>2410381.08-0.14</f>
        <v>2410380.94</v>
      </c>
      <c r="H232" s="18">
        <v>4187.22</v>
      </c>
      <c r="I232" s="18">
        <v>117008.48</v>
      </c>
      <c r="J232" s="18">
        <v>69149.210000000006</v>
      </c>
      <c r="K232" s="18">
        <v>1759.25</v>
      </c>
      <c r="L232" s="19">
        <f>SUM(F232:K232)</f>
        <v>8408387.1999999993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1459875.17</v>
      </c>
      <c r="G233" s="18">
        <v>626304.96</v>
      </c>
      <c r="H233" s="18">
        <v>918048.83</v>
      </c>
      <c r="I233" s="18">
        <v>4182.7299999999996</v>
      </c>
      <c r="J233" s="18">
        <v>909</v>
      </c>
      <c r="K233" s="18">
        <v>780</v>
      </c>
      <c r="L233" s="19">
        <f>SUM(F233:K233)</f>
        <v>3010100.69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185413.18</v>
      </c>
      <c r="I234" s="18"/>
      <c r="J234" s="18"/>
      <c r="K234" s="18"/>
      <c r="L234" s="19">
        <f>SUM(F234:K234)</f>
        <v>185413.18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403168.42+25135</f>
        <v>428303.42</v>
      </c>
      <c r="G235" s="18">
        <f>92641.1+1922.83</f>
        <v>94563.930000000008</v>
      </c>
      <c r="H235" s="18">
        <v>120837.52</v>
      </c>
      <c r="I235" s="18">
        <f>48403.19+3627.3</f>
        <v>52030.490000000005</v>
      </c>
      <c r="J235" s="18">
        <v>27355.74</v>
      </c>
      <c r="K235" s="18">
        <f>20811.8+5074.37</f>
        <v>25886.17</v>
      </c>
      <c r="L235" s="19">
        <f>SUM(F235:K235)</f>
        <v>748977.27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687423.14+112086.83</f>
        <v>799509.97</v>
      </c>
      <c r="G237" s="18">
        <v>371177.32</v>
      </c>
      <c r="H237" s="18">
        <f>70121.1+480</f>
        <v>70601.100000000006</v>
      </c>
      <c r="I237" s="18">
        <f>2266.12+3313.02</f>
        <v>5579.1399999999994</v>
      </c>
      <c r="J237" s="18">
        <v>448</v>
      </c>
      <c r="K237" s="18">
        <v>325</v>
      </c>
      <c r="L237" s="19">
        <f t="shared" ref="L237:L243" si="4">SUM(F237:K237)</f>
        <v>1247640.53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94314.5+113888.36+175768.22+42029.74</f>
        <v>426000.81999999995</v>
      </c>
      <c r="G238" s="18">
        <f>22964.63+195151.58</f>
        <v>218116.21</v>
      </c>
      <c r="H238" s="18">
        <f>16573.23+1658.29+73259.44+50482.19</f>
        <v>141973.15000000002</v>
      </c>
      <c r="I238" s="18">
        <f>990.07+25807.37+129235.71</f>
        <v>156033.15</v>
      </c>
      <c r="J238" s="18">
        <f>5989.32+60387.35</f>
        <v>66376.67</v>
      </c>
      <c r="K238" s="18"/>
      <c r="L238" s="19">
        <f t="shared" si="4"/>
        <v>1008500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30078.75</v>
      </c>
      <c r="G239" s="18">
        <v>2301.02</v>
      </c>
      <c r="H239" s="18">
        <f>47092.29+566853</f>
        <v>613945.29</v>
      </c>
      <c r="I239" s="18"/>
      <c r="J239" s="18"/>
      <c r="K239" s="18">
        <v>10484.969999999999</v>
      </c>
      <c r="L239" s="19">
        <f t="shared" si="4"/>
        <v>656810.03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625581.82999999996</v>
      </c>
      <c r="G240" s="18">
        <v>226817.78</v>
      </c>
      <c r="H240" s="18">
        <v>120623.72</v>
      </c>
      <c r="I240" s="18">
        <v>23731.17</v>
      </c>
      <c r="J240" s="18"/>
      <c r="K240" s="18">
        <v>45241.440000000002</v>
      </c>
      <c r="L240" s="19">
        <f t="shared" si="4"/>
        <v>1041995.94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679021.4+3564.51</f>
        <v>682585.91</v>
      </c>
      <c r="G242" s="18">
        <v>317706.2</v>
      </c>
      <c r="H242" s="18">
        <f>328133.95+148120.6+21473.13</f>
        <v>497727.68000000005</v>
      </c>
      <c r="I242" s="18">
        <v>408709.78</v>
      </c>
      <c r="J242" s="18">
        <f>36068.38+750</f>
        <v>36818.379999999997</v>
      </c>
      <c r="K242" s="18">
        <v>3044.61</v>
      </c>
      <c r="L242" s="19">
        <f t="shared" si="4"/>
        <v>1946592.56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760135.23</v>
      </c>
      <c r="I243" s="18"/>
      <c r="J243" s="18"/>
      <c r="K243" s="18"/>
      <c r="L243" s="19">
        <f t="shared" si="4"/>
        <v>760135.23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24136.52</v>
      </c>
      <c r="H244" s="18"/>
      <c r="I244" s="18"/>
      <c r="J244" s="18"/>
      <c r="K244" s="18">
        <v>1952.75</v>
      </c>
      <c r="L244" s="19">
        <f>SUM(F244:K244)</f>
        <v>26089.27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10257837.970000001</v>
      </c>
      <c r="G246" s="41">
        <f t="shared" si="5"/>
        <v>4291504.879999999</v>
      </c>
      <c r="H246" s="41">
        <f t="shared" si="5"/>
        <v>3433492.9200000004</v>
      </c>
      <c r="I246" s="41">
        <f t="shared" si="5"/>
        <v>767274.94</v>
      </c>
      <c r="J246" s="41">
        <f t="shared" si="5"/>
        <v>201057</v>
      </c>
      <c r="K246" s="41">
        <f t="shared" si="5"/>
        <v>89474.19</v>
      </c>
      <c r="L246" s="41">
        <f t="shared" si="5"/>
        <v>19040641.899999995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115693.29</v>
      </c>
      <c r="G250" s="18">
        <v>9268.5499999999993</v>
      </c>
      <c r="H250" s="18"/>
      <c r="I250" s="18">
        <v>2135.5500000000002</v>
      </c>
      <c r="J250" s="18"/>
      <c r="K250" s="18"/>
      <c r="L250" s="19">
        <f t="shared" si="6"/>
        <v>127097.39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115693.29</v>
      </c>
      <c r="G255" s="41">
        <f t="shared" si="7"/>
        <v>9268.5499999999993</v>
      </c>
      <c r="H255" s="41">
        <f t="shared" si="7"/>
        <v>0</v>
      </c>
      <c r="I255" s="41">
        <f t="shared" si="7"/>
        <v>2135.5500000000002</v>
      </c>
      <c r="J255" s="41">
        <f t="shared" si="7"/>
        <v>0</v>
      </c>
      <c r="K255" s="41">
        <f t="shared" si="7"/>
        <v>0</v>
      </c>
      <c r="L255" s="41">
        <f>SUM(F255:K255)</f>
        <v>127097.39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10373531.26</v>
      </c>
      <c r="G256" s="41">
        <f t="shared" si="8"/>
        <v>4300773.4299999988</v>
      </c>
      <c r="H256" s="41">
        <f t="shared" si="8"/>
        <v>3433492.9200000004</v>
      </c>
      <c r="I256" s="41">
        <f t="shared" si="8"/>
        <v>769410.49</v>
      </c>
      <c r="J256" s="41">
        <f t="shared" si="8"/>
        <v>201057</v>
      </c>
      <c r="K256" s="41">
        <f t="shared" si="8"/>
        <v>89474.19</v>
      </c>
      <c r="L256" s="41">
        <f t="shared" si="8"/>
        <v>19167739.289999995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1080000</v>
      </c>
      <c r="L259" s="19">
        <f>SUM(F259:K259)</f>
        <v>1080000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903168.5</v>
      </c>
      <c r="L260" s="19">
        <f>SUM(F260:K260)</f>
        <v>903168.5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2058168.5</v>
      </c>
      <c r="L269" s="41">
        <f t="shared" si="9"/>
        <v>2058168.5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10373531.26</v>
      </c>
      <c r="G270" s="42">
        <f t="shared" si="11"/>
        <v>4300773.4299999988</v>
      </c>
      <c r="H270" s="42">
        <f t="shared" si="11"/>
        <v>3433492.9200000004</v>
      </c>
      <c r="I270" s="42">
        <f t="shared" si="11"/>
        <v>769410.49</v>
      </c>
      <c r="J270" s="42">
        <f t="shared" si="11"/>
        <v>201057</v>
      </c>
      <c r="K270" s="42">
        <f t="shared" si="11"/>
        <v>2147642.69</v>
      </c>
      <c r="L270" s="42">
        <f t="shared" si="11"/>
        <v>21225907.789999995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238479.1</v>
      </c>
      <c r="G313" s="18">
        <f>34962.16</f>
        <v>34962.160000000003</v>
      </c>
      <c r="H313" s="18">
        <v>250.64</v>
      </c>
      <c r="I313" s="18">
        <v>3688.66</v>
      </c>
      <c r="J313" s="18">
        <f>17165-499.99</f>
        <v>16665.009999999998</v>
      </c>
      <c r="K313" s="18"/>
      <c r="L313" s="19">
        <f>SUM(F313:K313)</f>
        <v>294045.57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69189.3</v>
      </c>
      <c r="G314" s="18">
        <f>22067.49</f>
        <v>22067.49</v>
      </c>
      <c r="H314" s="18">
        <v>103198.38</v>
      </c>
      <c r="I314" s="18">
        <v>17815.63</v>
      </c>
      <c r="J314" s="18">
        <v>26287.96</v>
      </c>
      <c r="K314" s="18">
        <v>2184.1</v>
      </c>
      <c r="L314" s="19">
        <f>SUM(F314:K314)</f>
        <v>240742.86000000002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1219.17</v>
      </c>
      <c r="I318" s="18">
        <v>1153.7</v>
      </c>
      <c r="J318" s="18"/>
      <c r="K318" s="18">
        <v>5020.37</v>
      </c>
      <c r="L318" s="19">
        <f t="shared" ref="L318:L324" si="16">SUM(F318:K318)</f>
        <v>7393.24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1275</v>
      </c>
      <c r="I319" s="18"/>
      <c r="J319" s="18"/>
      <c r="K319" s="18"/>
      <c r="L319" s="19">
        <f t="shared" si="16"/>
        <v>1275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10907.3</v>
      </c>
      <c r="L320" s="19">
        <f t="shared" si="16"/>
        <v>10907.3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1775</v>
      </c>
      <c r="I324" s="18"/>
      <c r="J324" s="18"/>
      <c r="K324" s="18"/>
      <c r="L324" s="19">
        <f t="shared" si="16"/>
        <v>1775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307668.40000000002</v>
      </c>
      <c r="G327" s="42">
        <f t="shared" si="17"/>
        <v>57029.650000000009</v>
      </c>
      <c r="H327" s="42">
        <f t="shared" si="17"/>
        <v>107718.19</v>
      </c>
      <c r="I327" s="42">
        <f t="shared" si="17"/>
        <v>22657.99</v>
      </c>
      <c r="J327" s="42">
        <f t="shared" si="17"/>
        <v>42952.97</v>
      </c>
      <c r="K327" s="42">
        <f t="shared" si="17"/>
        <v>18111.769999999997</v>
      </c>
      <c r="L327" s="41">
        <f t="shared" si="17"/>
        <v>556138.97000000009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307668.40000000002</v>
      </c>
      <c r="G337" s="41">
        <f t="shared" si="20"/>
        <v>57029.650000000009</v>
      </c>
      <c r="H337" s="41">
        <f t="shared" si="20"/>
        <v>107718.19</v>
      </c>
      <c r="I337" s="41">
        <f t="shared" si="20"/>
        <v>22657.99</v>
      </c>
      <c r="J337" s="41">
        <f t="shared" si="20"/>
        <v>42952.97</v>
      </c>
      <c r="K337" s="41">
        <f t="shared" si="20"/>
        <v>18111.769999999997</v>
      </c>
      <c r="L337" s="41">
        <f t="shared" si="20"/>
        <v>556138.97000000009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307668.40000000002</v>
      </c>
      <c r="G351" s="41">
        <f>G337</f>
        <v>57029.650000000009</v>
      </c>
      <c r="H351" s="41">
        <f>H337</f>
        <v>107718.19</v>
      </c>
      <c r="I351" s="41">
        <f>I337</f>
        <v>22657.99</v>
      </c>
      <c r="J351" s="41">
        <f>J337</f>
        <v>42952.97</v>
      </c>
      <c r="K351" s="47">
        <f>K337+K350</f>
        <v>18111.769999999997</v>
      </c>
      <c r="L351" s="41">
        <f>L337+L350</f>
        <v>556138.97000000009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234526.97</v>
      </c>
      <c r="G359" s="18"/>
      <c r="H359" s="18">
        <f>3968.51+10128.1</f>
        <v>14096.61</v>
      </c>
      <c r="I359" s="18">
        <f>19121.92+298014.76+22105.89</f>
        <v>339242.57</v>
      </c>
      <c r="J359" s="18">
        <v>11100.6</v>
      </c>
      <c r="K359" s="18">
        <v>2885</v>
      </c>
      <c r="L359" s="19">
        <f>SUM(F359:K359)</f>
        <v>601851.75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234526.97</v>
      </c>
      <c r="G361" s="47">
        <f t="shared" si="22"/>
        <v>0</v>
      </c>
      <c r="H361" s="47">
        <f t="shared" si="22"/>
        <v>14096.61</v>
      </c>
      <c r="I361" s="47">
        <f t="shared" si="22"/>
        <v>339242.57</v>
      </c>
      <c r="J361" s="47">
        <f t="shared" si="22"/>
        <v>11100.6</v>
      </c>
      <c r="K361" s="47">
        <f t="shared" si="22"/>
        <v>2885</v>
      </c>
      <c r="L361" s="47">
        <f t="shared" si="22"/>
        <v>601851.75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f>298014.76+22105.89</f>
        <v>320120.65000000002</v>
      </c>
      <c r="I366" s="56">
        <f>SUM(F366:H366)</f>
        <v>320120.65000000002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19121.919999999998</v>
      </c>
      <c r="I367" s="56">
        <f>SUM(F367:H367)</f>
        <v>19121.919999999998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339242.57</v>
      </c>
      <c r="I368" s="47">
        <f>SUM(I366:I367)</f>
        <v>339242.57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56.8</v>
      </c>
      <c r="I395" s="18">
        <v>-3583.78</v>
      </c>
      <c r="J395" s="24" t="s">
        <v>289</v>
      </c>
      <c r="K395" s="24" t="s">
        <v>289</v>
      </c>
      <c r="L395" s="56">
        <f t="shared" si="26"/>
        <v>46473.020000000004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197.38</v>
      </c>
      <c r="I396" s="18">
        <v>-3902.71</v>
      </c>
      <c r="J396" s="24" t="s">
        <v>289</v>
      </c>
      <c r="K396" s="24" t="s">
        <v>289</v>
      </c>
      <c r="L396" s="56">
        <f t="shared" si="26"/>
        <v>21294.670000000002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254.18</v>
      </c>
      <c r="I400" s="47">
        <f>SUM(I394:I399)</f>
        <v>-7486.49</v>
      </c>
      <c r="J400" s="45" t="s">
        <v>289</v>
      </c>
      <c r="K400" s="45" t="s">
        <v>289</v>
      </c>
      <c r="L400" s="47">
        <f>SUM(L394:L399)</f>
        <v>67767.69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254.18</v>
      </c>
      <c r="I407" s="47">
        <f>I392+I400+I406</f>
        <v>-7486.49</v>
      </c>
      <c r="J407" s="24" t="s">
        <v>289</v>
      </c>
      <c r="K407" s="24" t="s">
        <v>289</v>
      </c>
      <c r="L407" s="47">
        <f>L392+L400+L406</f>
        <v>67767.69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392295.32</v>
      </c>
      <c r="H440" s="18"/>
      <c r="I440" s="56">
        <f t="shared" si="33"/>
        <v>392295.32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392295.32</v>
      </c>
      <c r="H445" s="13">
        <f>SUM(H438:H444)</f>
        <v>0</v>
      </c>
      <c r="I445" s="13">
        <f>SUM(I438:I444)</f>
        <v>392295.32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392295.32</v>
      </c>
      <c r="H458" s="18"/>
      <c r="I458" s="56">
        <f t="shared" si="34"/>
        <v>392295.32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392295.32</v>
      </c>
      <c r="H459" s="83">
        <f>SUM(H453:H458)</f>
        <v>0</v>
      </c>
      <c r="I459" s="83">
        <f>SUM(I453:I458)</f>
        <v>392295.32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392295.32</v>
      </c>
      <c r="H460" s="42">
        <f>H451+H459</f>
        <v>0</v>
      </c>
      <c r="I460" s="42">
        <f>I451+I459</f>
        <v>392295.32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713337.62</v>
      </c>
      <c r="G464" s="18">
        <v>199709.15</v>
      </c>
      <c r="H464" s="18">
        <v>0</v>
      </c>
      <c r="I464" s="18"/>
      <c r="J464" s="18">
        <v>324527.63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21039168.82</v>
      </c>
      <c r="G467" s="18">
        <v>555286.24</v>
      </c>
      <c r="H467" s="18">
        <v>556138.97</v>
      </c>
      <c r="I467" s="18"/>
      <c r="J467" s="18">
        <f>75000+254.18-7486.49</f>
        <v>67767.689999999988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21039168.82</v>
      </c>
      <c r="G469" s="53">
        <f>SUM(G467:G468)</f>
        <v>555286.24</v>
      </c>
      <c r="H469" s="53">
        <f>SUM(H467:H468)</f>
        <v>556138.97</v>
      </c>
      <c r="I469" s="53">
        <f>SUM(I467:I468)</f>
        <v>0</v>
      </c>
      <c r="J469" s="53">
        <f>SUM(J467:J468)</f>
        <v>67767.689999999988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21225907.789999999</v>
      </c>
      <c r="G471" s="18">
        <v>601851.75</v>
      </c>
      <c r="H471" s="18">
        <v>556138.97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14.62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21225922.41</v>
      </c>
      <c r="G473" s="53">
        <f>SUM(G471:G472)</f>
        <v>601851.75</v>
      </c>
      <c r="H473" s="53">
        <f>SUM(H471:H472)</f>
        <v>556138.97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526584.03000000119</v>
      </c>
      <c r="G475" s="53">
        <f>(G464+G469)- G473</f>
        <v>153143.64000000001</v>
      </c>
      <c r="H475" s="53">
        <f>(H464+H469)- H473</f>
        <v>0</v>
      </c>
      <c r="I475" s="53">
        <f>(I464+I469)- I473</f>
        <v>0</v>
      </c>
      <c r="J475" s="53">
        <f>(J464+J469)- J473</f>
        <v>392295.32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913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25484800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19245000</v>
      </c>
      <c r="G494" s="18"/>
      <c r="H494" s="18"/>
      <c r="I494" s="18"/>
      <c r="J494" s="18"/>
      <c r="K494" s="53">
        <f>SUM(F494:J494)</f>
        <v>19245000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1983168.5</v>
      </c>
      <c r="G496" s="18"/>
      <c r="H496" s="18"/>
      <c r="I496" s="18"/>
      <c r="J496" s="18"/>
      <c r="K496" s="53">
        <f t="shared" si="35"/>
        <v>1983168.5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18165000</v>
      </c>
      <c r="G497" s="204"/>
      <c r="H497" s="204"/>
      <c r="I497" s="204"/>
      <c r="J497" s="204"/>
      <c r="K497" s="205">
        <f t="shared" si="35"/>
        <v>18165000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5451995.75</v>
      </c>
      <c r="G498" s="18"/>
      <c r="H498" s="18"/>
      <c r="I498" s="18"/>
      <c r="J498" s="18"/>
      <c r="K498" s="53">
        <f t="shared" si="35"/>
        <v>5451995.75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23616995.75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23616995.75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1135000</v>
      </c>
      <c r="G500" s="204"/>
      <c r="H500" s="204"/>
      <c r="I500" s="204"/>
      <c r="J500" s="204"/>
      <c r="K500" s="205">
        <f t="shared" si="35"/>
        <v>1135000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847793.5</v>
      </c>
      <c r="G501" s="18"/>
      <c r="H501" s="18"/>
      <c r="I501" s="18"/>
      <c r="J501" s="18"/>
      <c r="K501" s="53">
        <f t="shared" si="35"/>
        <v>847793.5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1982793.5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1982793.5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1126278.45</v>
      </c>
      <c r="G522" s="18">
        <v>480169.7</v>
      </c>
      <c r="H522" s="18">
        <v>914937.46</v>
      </c>
      <c r="I522" s="18">
        <v>21998.36</v>
      </c>
      <c r="J522" s="18">
        <v>27196.959999999999</v>
      </c>
      <c r="K522" s="18">
        <v>2184.1</v>
      </c>
      <c r="L522" s="88">
        <f>SUM(F522:K522)</f>
        <v>2572765.0299999998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1126278.45</v>
      </c>
      <c r="G523" s="108">
        <f t="shared" ref="G523:L523" si="36">SUM(G520:G522)</f>
        <v>480169.7</v>
      </c>
      <c r="H523" s="108">
        <f t="shared" si="36"/>
        <v>914937.46</v>
      </c>
      <c r="I523" s="108">
        <f t="shared" si="36"/>
        <v>21998.36</v>
      </c>
      <c r="J523" s="108">
        <f t="shared" si="36"/>
        <v>27196.959999999999</v>
      </c>
      <c r="K523" s="108">
        <f t="shared" si="36"/>
        <v>2184.1</v>
      </c>
      <c r="L523" s="89">
        <f t="shared" si="36"/>
        <v>2572765.0299999998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271440.18</v>
      </c>
      <c r="G527" s="18">
        <v>105611.9</v>
      </c>
      <c r="H527" s="18">
        <v>92372.68</v>
      </c>
      <c r="I527" s="18"/>
      <c r="J527" s="18"/>
      <c r="K527" s="18"/>
      <c r="L527" s="88">
        <f>SUM(F527:K527)</f>
        <v>469424.75999999995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271440.18</v>
      </c>
      <c r="G528" s="89">
        <f t="shared" ref="G528:L528" si="37">SUM(G525:G527)</f>
        <v>105611.9</v>
      </c>
      <c r="H528" s="89">
        <f t="shared" si="37"/>
        <v>92372.68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469424.75999999995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87021+44324.84</f>
        <v>131345.84</v>
      </c>
      <c r="G532" s="18">
        <f>27734.41+34856.44</f>
        <v>62590.850000000006</v>
      </c>
      <c r="H532" s="18"/>
      <c r="I532" s="18"/>
      <c r="J532" s="18"/>
      <c r="K532" s="18">
        <v>780</v>
      </c>
      <c r="L532" s="88">
        <f>SUM(F532:K532)</f>
        <v>194716.69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131345.84</v>
      </c>
      <c r="G533" s="89">
        <f t="shared" ref="G533:L533" si="38">SUM(G530:G532)</f>
        <v>62590.850000000006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780</v>
      </c>
      <c r="L533" s="89">
        <f t="shared" si="38"/>
        <v>194716.69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13937.07</v>
      </c>
      <c r="I537" s="18"/>
      <c r="J537" s="18"/>
      <c r="K537" s="18"/>
      <c r="L537" s="88">
        <f>SUM(F537:K537)</f>
        <v>13937.07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13937.07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13937.07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200328.22</v>
      </c>
      <c r="I542" s="18"/>
      <c r="J542" s="18"/>
      <c r="K542" s="18"/>
      <c r="L542" s="88">
        <f>SUM(F542:K542)</f>
        <v>200328.22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200328.22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200328.22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1529064.47</v>
      </c>
      <c r="G544" s="89">
        <f t="shared" ref="G544:L544" si="41">G523+G528+G533+G538+G543</f>
        <v>648372.44999999995</v>
      </c>
      <c r="H544" s="89">
        <f t="shared" si="41"/>
        <v>1221575.43</v>
      </c>
      <c r="I544" s="89">
        <f t="shared" si="41"/>
        <v>21998.36</v>
      </c>
      <c r="J544" s="89">
        <f t="shared" si="41"/>
        <v>27196.959999999999</v>
      </c>
      <c r="K544" s="89">
        <f t="shared" si="41"/>
        <v>2964.1</v>
      </c>
      <c r="L544" s="89">
        <f t="shared" si="41"/>
        <v>3451171.7699999996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2572765.0299999998</v>
      </c>
      <c r="G550" s="87">
        <f>L527</f>
        <v>469424.75999999995</v>
      </c>
      <c r="H550" s="87">
        <f>L532</f>
        <v>194716.69</v>
      </c>
      <c r="I550" s="87">
        <f>L537</f>
        <v>13937.07</v>
      </c>
      <c r="J550" s="87">
        <f>L542</f>
        <v>200328.22</v>
      </c>
      <c r="K550" s="87">
        <f>SUM(F550:J550)</f>
        <v>3451171.7699999996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2572765.0299999998</v>
      </c>
      <c r="G551" s="89">
        <f t="shared" si="42"/>
        <v>469424.75999999995</v>
      </c>
      <c r="H551" s="89">
        <f t="shared" si="42"/>
        <v>194716.69</v>
      </c>
      <c r="I551" s="89">
        <f t="shared" si="42"/>
        <v>13937.07</v>
      </c>
      <c r="J551" s="89">
        <f t="shared" si="42"/>
        <v>200328.22</v>
      </c>
      <c r="K551" s="89">
        <f t="shared" si="42"/>
        <v>3451171.7699999996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97524.1</v>
      </c>
      <c r="I578" s="87">
        <f t="shared" si="47"/>
        <v>97524.1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369019.51</v>
      </c>
      <c r="I581" s="87">
        <f t="shared" si="47"/>
        <v>369019.51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388261.5</v>
      </c>
      <c r="I582" s="87">
        <f t="shared" si="47"/>
        <v>388261.5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185413.18</v>
      </c>
      <c r="I583" s="87">
        <f t="shared" si="47"/>
        <v>185413.18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f>434219.04-43421.9</f>
        <v>390797.13999999996</v>
      </c>
      <c r="K590" s="104">
        <f t="shared" ref="K590:K596" si="48">SUM(H590:J590)</f>
        <v>390797.13999999996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200328.22</v>
      </c>
      <c r="K591" s="104">
        <f t="shared" si="48"/>
        <v>200328.22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434219.04*10%</f>
        <v>43421.904000000002</v>
      </c>
      <c r="K592" s="104">
        <f t="shared" si="48"/>
        <v>43421.904000000002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71040.08</v>
      </c>
      <c r="K593" s="104">
        <f t="shared" si="48"/>
        <v>71040.08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54547.89</v>
      </c>
      <c r="K596" s="104">
        <f t="shared" si="48"/>
        <v>54547.89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760135.23399999994</v>
      </c>
      <c r="K597" s="108">
        <f>SUM(K590:K596)</f>
        <v>760135.23399999994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17276</v>
      </c>
      <c r="K602" s="104">
        <f>SUM(H602:J602)</f>
        <v>17276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f>201057-17276+43452.96-499.99</f>
        <v>226733.97</v>
      </c>
      <c r="K603" s="104">
        <f>SUM(H603:J603)</f>
        <v>226733.97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244009.97</v>
      </c>
      <c r="K604" s="108">
        <f>SUM(K601:K603)</f>
        <v>244009.97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25135</v>
      </c>
      <c r="G612" s="18"/>
      <c r="H612" s="18"/>
      <c r="I612" s="18">
        <v>3627.3</v>
      </c>
      <c r="J612" s="18"/>
      <c r="K612" s="18"/>
      <c r="L612" s="88">
        <f>SUM(F612:K612)</f>
        <v>28762.3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25135</v>
      </c>
      <c r="G613" s="108">
        <f t="shared" si="49"/>
        <v>0</v>
      </c>
      <c r="H613" s="108">
        <f t="shared" si="49"/>
        <v>0</v>
      </c>
      <c r="I613" s="108">
        <f t="shared" si="49"/>
        <v>3627.3</v>
      </c>
      <c r="J613" s="108">
        <f t="shared" si="49"/>
        <v>0</v>
      </c>
      <c r="K613" s="108">
        <f t="shared" si="49"/>
        <v>0</v>
      </c>
      <c r="L613" s="89">
        <f t="shared" si="49"/>
        <v>28762.3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732697.59000000008</v>
      </c>
      <c r="H616" s="109">
        <f>SUM(F51)</f>
        <v>732697.59000000008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162236.78999999998</v>
      </c>
      <c r="H617" s="109">
        <f>SUM(G51)</f>
        <v>162236.79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62001.16</v>
      </c>
      <c r="H618" s="109">
        <f>SUM(H51)</f>
        <v>62001.16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392295.32</v>
      </c>
      <c r="H620" s="109">
        <f>SUM(J51)</f>
        <v>392295.32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526584.03</v>
      </c>
      <c r="H621" s="109">
        <f>F475</f>
        <v>526584.03000000119</v>
      </c>
      <c r="I621" s="121" t="s">
        <v>101</v>
      </c>
      <c r="J621" s="109">
        <f t="shared" ref="J621:J654" si="50">G621-H621</f>
        <v>-1.1641532182693481E-9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153143.64000000001</v>
      </c>
      <c r="H622" s="109">
        <f>G475</f>
        <v>153143.64000000001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392295.32</v>
      </c>
      <c r="H625" s="109">
        <f>J475</f>
        <v>392295.32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21039168.82</v>
      </c>
      <c r="H626" s="104">
        <f>SUM(F467)</f>
        <v>21039168.82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555286.24</v>
      </c>
      <c r="H627" s="104">
        <f>SUM(G467)</f>
        <v>555286.24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556138.97</v>
      </c>
      <c r="H628" s="104">
        <f>SUM(H467)</f>
        <v>556138.97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67767.69</v>
      </c>
      <c r="H630" s="104">
        <f>SUM(J467)</f>
        <v>67767.689999999988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21225907.789999995</v>
      </c>
      <c r="H631" s="104">
        <f>SUM(F471)</f>
        <v>21225907.789999999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556138.97000000009</v>
      </c>
      <c r="H632" s="104">
        <f>SUM(H471)</f>
        <v>556138.97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339242.57</v>
      </c>
      <c r="H633" s="104">
        <f>I368</f>
        <v>339242.57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601851.75</v>
      </c>
      <c r="H634" s="104">
        <f>SUM(G471)</f>
        <v>601851.75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67767.69</v>
      </c>
      <c r="H636" s="164">
        <f>SUM(J467)</f>
        <v>67767.689999999988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392295.32</v>
      </c>
      <c r="H639" s="104">
        <f>SUM(G460)</f>
        <v>392295.32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392295.32</v>
      </c>
      <c r="H641" s="104">
        <f>SUM(I460)</f>
        <v>392295.32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254.18</v>
      </c>
      <c r="H643" s="104">
        <f>H407</f>
        <v>254.18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67767.69</v>
      </c>
      <c r="H645" s="104">
        <f>L407</f>
        <v>67767.69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760135.23399999994</v>
      </c>
      <c r="H646" s="104">
        <f>L207+L225+L243</f>
        <v>760135.23</v>
      </c>
      <c r="I646" s="140" t="s">
        <v>397</v>
      </c>
      <c r="J646" s="109">
        <f t="shared" si="50"/>
        <v>3.9999999571591616E-3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244009.97</v>
      </c>
      <c r="H647" s="104">
        <f>(J256+J337)-(J254+J335)</f>
        <v>244009.97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760135.23</v>
      </c>
      <c r="H650" s="104">
        <f>J597</f>
        <v>760135.23399999994</v>
      </c>
      <c r="I650" s="140" t="s">
        <v>391</v>
      </c>
      <c r="J650" s="109">
        <f t="shared" si="50"/>
        <v>-3.9999999571591616E-3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20198632.619999994</v>
      </c>
      <c r="I659" s="19">
        <f>SUM(F659:H659)</f>
        <v>20198632.619999994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422258.92000000004</v>
      </c>
      <c r="I660" s="19">
        <f>SUM(F660:H660)</f>
        <v>422258.92000000004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761910.23</v>
      </c>
      <c r="I661" s="19">
        <f>SUM(F661:H661)</f>
        <v>761910.23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0</v>
      </c>
      <c r="H662" s="199">
        <f>SUM(H574:H586)+SUM(J601:J603)+L612</f>
        <v>1312990.56</v>
      </c>
      <c r="I662" s="19">
        <f>SUM(F662:H662)</f>
        <v>1312990.56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17701472.909999993</v>
      </c>
      <c r="I663" s="19">
        <f>I659-SUM(I660:I662)</f>
        <v>17701472.909999993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>
        <v>1147.0999999999999</v>
      </c>
      <c r="I664" s="19">
        <f>SUM(F664:H664)</f>
        <v>1147.0999999999999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15431.5</v>
      </c>
      <c r="I666" s="19">
        <f>ROUND(I663/I664,2)</f>
        <v>15431.5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-30.45</v>
      </c>
      <c r="I669" s="19">
        <f>SUM(F669:H669)</f>
        <v>-30.45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15852.3</v>
      </c>
      <c r="I671" s="19">
        <f>ROUND((I663+I668)/(I664+I669),2)</f>
        <v>15852.3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WINNACUNNET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6044381.1999999993</v>
      </c>
      <c r="C9" s="229">
        <f>'DOE25'!G196+'DOE25'!G214+'DOE25'!G232+'DOE25'!G275+'DOE25'!G294+'DOE25'!G313</f>
        <v>2445343.1</v>
      </c>
    </row>
    <row r="10" spans="1:3" x14ac:dyDescent="0.2">
      <c r="A10" t="s">
        <v>779</v>
      </c>
      <c r="B10" s="240">
        <f>5495688.33+700+6480+19837.5+116917+34900+34234+14779</f>
        <v>5723535.8300000001</v>
      </c>
      <c r="C10" s="240">
        <f>34148.84+2368107.28-0.14</f>
        <v>2402255.9799999995</v>
      </c>
    </row>
    <row r="11" spans="1:3" x14ac:dyDescent="0.2">
      <c r="A11" t="s">
        <v>780</v>
      </c>
      <c r="B11" s="240">
        <v>45815.65</v>
      </c>
      <c r="C11" s="240">
        <f>8123.23+15307.97</f>
        <v>23431.199999999997</v>
      </c>
    </row>
    <row r="12" spans="1:3" x14ac:dyDescent="0.2">
      <c r="A12" t="s">
        <v>781</v>
      </c>
      <c r="B12" s="240">
        <f>86286.84+44350.56+15403.75+118356.97+540+10091.6</f>
        <v>275029.71999999997</v>
      </c>
      <c r="C12" s="240">
        <f>813.32+7787.96+1349.37+9705.27</f>
        <v>19655.920000000002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6044381.2000000002</v>
      </c>
      <c r="C13" s="231">
        <f>SUM(C10:C12)</f>
        <v>2445343.0999999996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1529064.47</v>
      </c>
      <c r="C18" s="229">
        <f>'DOE25'!G197+'DOE25'!G215+'DOE25'!G233+'DOE25'!G276+'DOE25'!G295+'DOE25'!G314</f>
        <v>648372.44999999995</v>
      </c>
    </row>
    <row r="19" spans="1:3" x14ac:dyDescent="0.2">
      <c r="A19" t="s">
        <v>779</v>
      </c>
      <c r="B19" s="240">
        <f>801414+13225</f>
        <v>814639</v>
      </c>
      <c r="C19" s="240">
        <f>2506.14+299236.65</f>
        <v>301742.79000000004</v>
      </c>
    </row>
    <row r="20" spans="1:3" x14ac:dyDescent="0.2">
      <c r="A20" t="s">
        <v>780</v>
      </c>
      <c r="B20" s="240">
        <f>255562.65+112.5+55964.3</f>
        <v>311639.45</v>
      </c>
      <c r="C20" s="240">
        <f>19561.35+158865.56</f>
        <v>178426.91</v>
      </c>
    </row>
    <row r="21" spans="1:3" x14ac:dyDescent="0.2">
      <c r="A21" t="s">
        <v>781</v>
      </c>
      <c r="B21" s="240">
        <f>87021+44324.84+271440.18</f>
        <v>402786.02</v>
      </c>
      <c r="C21" s="240">
        <f>27734.41+105611.9+34856.44</f>
        <v>168202.75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1529064.47</v>
      </c>
      <c r="C22" s="231">
        <f>SUM(C19:C21)</f>
        <v>648372.45000000007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428303.42</v>
      </c>
      <c r="C36" s="235">
        <f>'DOE25'!G199+'DOE25'!G217+'DOE25'!G235+'DOE25'!G278+'DOE25'!G297+'DOE25'!G316</f>
        <v>94563.930000000008</v>
      </c>
    </row>
    <row r="37" spans="1:3" x14ac:dyDescent="0.2">
      <c r="A37" t="s">
        <v>779</v>
      </c>
      <c r="B37" s="240">
        <v>25135</v>
      </c>
      <c r="C37" s="240">
        <v>1922.83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81777+29339.42+292052</f>
        <v>403168.42</v>
      </c>
      <c r="C39" s="240">
        <v>92641.1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428303.42</v>
      </c>
      <c r="C40" s="231">
        <f>SUM(C37:C39)</f>
        <v>94563.930000000008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WINNACUNNET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12352878.339999998</v>
      </c>
      <c r="D5" s="20">
        <f>SUM('DOE25'!L196:L199)+SUM('DOE25'!L214:L217)+SUM('DOE25'!L232:L235)-F5-G5</f>
        <v>12227038.969999999</v>
      </c>
      <c r="E5" s="243"/>
      <c r="F5" s="255">
        <f>SUM('DOE25'!J196:J199)+SUM('DOE25'!J214:J217)+SUM('DOE25'!J232:J235)</f>
        <v>97413.950000000012</v>
      </c>
      <c r="G5" s="53">
        <f>SUM('DOE25'!K196:K199)+SUM('DOE25'!K214:K217)+SUM('DOE25'!K232:K235)</f>
        <v>28425.42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1247640.53</v>
      </c>
      <c r="D6" s="20">
        <f>'DOE25'!L201+'DOE25'!L219+'DOE25'!L237-F6-G6</f>
        <v>1246867.53</v>
      </c>
      <c r="E6" s="243"/>
      <c r="F6" s="255">
        <f>'DOE25'!J201+'DOE25'!J219+'DOE25'!J237</f>
        <v>448</v>
      </c>
      <c r="G6" s="53">
        <f>'DOE25'!K201+'DOE25'!K219+'DOE25'!K237</f>
        <v>325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1008500</v>
      </c>
      <c r="D7" s="20">
        <f>'DOE25'!L202+'DOE25'!L220+'DOE25'!L238-F7-G7</f>
        <v>942123.33</v>
      </c>
      <c r="E7" s="243"/>
      <c r="F7" s="255">
        <f>'DOE25'!J202+'DOE25'!J220+'DOE25'!J238</f>
        <v>66376.67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390925.51</v>
      </c>
      <c r="D8" s="243"/>
      <c r="E8" s="20">
        <f>'DOE25'!L203+'DOE25'!L221+'DOE25'!L239-F8-G8-D9-D11</f>
        <v>380440.54000000004</v>
      </c>
      <c r="F8" s="255">
        <f>'DOE25'!J203+'DOE25'!J221+'DOE25'!J239</f>
        <v>0</v>
      </c>
      <c r="G8" s="53">
        <f>'DOE25'!K203+'DOE25'!K221+'DOE25'!K239</f>
        <v>10484.969999999999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87656.01</v>
      </c>
      <c r="D9" s="244">
        <v>87656.01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16796.5</v>
      </c>
      <c r="D10" s="243"/>
      <c r="E10" s="244">
        <v>16796.5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178228.51</v>
      </c>
      <c r="D11" s="244">
        <v>178228.51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1041995.94</v>
      </c>
      <c r="D12" s="20">
        <f>'DOE25'!L204+'DOE25'!L222+'DOE25'!L240-F12-G12</f>
        <v>996754.5</v>
      </c>
      <c r="E12" s="243"/>
      <c r="F12" s="255">
        <f>'DOE25'!J204+'DOE25'!J222+'DOE25'!J240</f>
        <v>0</v>
      </c>
      <c r="G12" s="53">
        <f>'DOE25'!K204+'DOE25'!K222+'DOE25'!K240</f>
        <v>45241.440000000002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1946592.56</v>
      </c>
      <c r="D14" s="20">
        <f>'DOE25'!L206+'DOE25'!L224+'DOE25'!L242-F14-G14</f>
        <v>1906729.57</v>
      </c>
      <c r="E14" s="243"/>
      <c r="F14" s="255">
        <f>'DOE25'!J206+'DOE25'!J224+'DOE25'!J242</f>
        <v>36818.379999999997</v>
      </c>
      <c r="G14" s="53">
        <f>'DOE25'!K206+'DOE25'!K224+'DOE25'!K242</f>
        <v>3044.61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760135.23</v>
      </c>
      <c r="D15" s="20">
        <f>'DOE25'!L207+'DOE25'!L225+'DOE25'!L243-F15-G15</f>
        <v>760135.23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26089.27</v>
      </c>
      <c r="D16" s="243"/>
      <c r="E16" s="20">
        <f>'DOE25'!L208+'DOE25'!L226+'DOE25'!L244-F16-G16</f>
        <v>24136.52</v>
      </c>
      <c r="F16" s="255">
        <f>'DOE25'!J208+'DOE25'!J226+'DOE25'!J244</f>
        <v>0</v>
      </c>
      <c r="G16" s="53">
        <f>'DOE25'!K208+'DOE25'!K226+'DOE25'!K244</f>
        <v>1952.75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127097.39</v>
      </c>
      <c r="D17" s="20">
        <f>'DOE25'!L250-F17-G17</f>
        <v>127097.39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1983168.5</v>
      </c>
      <c r="D25" s="243"/>
      <c r="E25" s="243"/>
      <c r="F25" s="258"/>
      <c r="G25" s="256"/>
      <c r="H25" s="257">
        <f>'DOE25'!L259+'DOE25'!L260+'DOE25'!L340+'DOE25'!L341</f>
        <v>1983168.5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281731.09999999998</v>
      </c>
      <c r="D29" s="20">
        <f>'DOE25'!L357+'DOE25'!L358+'DOE25'!L359-'DOE25'!I366-F29-G29</f>
        <v>267745.5</v>
      </c>
      <c r="E29" s="243"/>
      <c r="F29" s="255">
        <f>'DOE25'!J357+'DOE25'!J358+'DOE25'!J359</f>
        <v>11100.6</v>
      </c>
      <c r="G29" s="53">
        <f>'DOE25'!K357+'DOE25'!K358+'DOE25'!K359</f>
        <v>2885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556138.97000000009</v>
      </c>
      <c r="D31" s="20">
        <f>'DOE25'!L289+'DOE25'!L308+'DOE25'!L327+'DOE25'!L332+'DOE25'!L333+'DOE25'!L334-F31-G31</f>
        <v>495074.2300000001</v>
      </c>
      <c r="E31" s="243"/>
      <c r="F31" s="255">
        <f>'DOE25'!J289+'DOE25'!J308+'DOE25'!J327+'DOE25'!J332+'DOE25'!J333+'DOE25'!J334</f>
        <v>42952.97</v>
      </c>
      <c r="G31" s="53">
        <f>'DOE25'!K289+'DOE25'!K308+'DOE25'!K327+'DOE25'!K332+'DOE25'!K333+'DOE25'!K334</f>
        <v>18111.769999999997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19235450.77</v>
      </c>
      <c r="E33" s="246">
        <f>SUM(E5:E31)</f>
        <v>421373.56000000006</v>
      </c>
      <c r="F33" s="246">
        <f>SUM(F5:F31)</f>
        <v>255110.57</v>
      </c>
      <c r="G33" s="246">
        <f>SUM(G5:G31)</f>
        <v>110470.95999999999</v>
      </c>
      <c r="H33" s="246">
        <f>SUM(H5:H31)</f>
        <v>1983168.5</v>
      </c>
    </row>
    <row r="35" spans="2:8" ht="12" thickBot="1" x14ac:dyDescent="0.25">
      <c r="B35" s="253" t="s">
        <v>847</v>
      </c>
      <c r="D35" s="254">
        <f>E33</f>
        <v>421373.56000000006</v>
      </c>
      <c r="E35" s="249"/>
    </row>
    <row r="36" spans="2:8" ht="12" thickTop="1" x14ac:dyDescent="0.2">
      <c r="B36" t="s">
        <v>815</v>
      </c>
      <c r="D36" s="20">
        <f>D33</f>
        <v>19235450.77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773937.49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34030.339999999997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-92613.579999999987</v>
      </c>
      <c r="D11" s="95">
        <f>'DOE25'!G12</f>
        <v>154614.74</v>
      </c>
      <c r="E11" s="95">
        <f>'DOE25'!H12</f>
        <v>0</v>
      </c>
      <c r="F11" s="95">
        <f>'DOE25'!I12</f>
        <v>0</v>
      </c>
      <c r="G11" s="95">
        <f>'DOE25'!J12</f>
        <v>392295.32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8450.5400000000009</v>
      </c>
      <c r="D12" s="95">
        <f>'DOE25'!G13</f>
        <v>7422.05</v>
      </c>
      <c r="E12" s="95">
        <f>'DOE25'!H13</f>
        <v>62001.16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8892.7999999999993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732697.59000000008</v>
      </c>
      <c r="D18" s="41">
        <f>SUM(D8:D17)</f>
        <v>162236.78999999998</v>
      </c>
      <c r="E18" s="41">
        <f>SUM(E8:E17)</f>
        <v>62001.16</v>
      </c>
      <c r="F18" s="41">
        <f>SUM(F8:F17)</f>
        <v>0</v>
      </c>
      <c r="G18" s="41">
        <f>SUM(G8:G17)</f>
        <v>392295.32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62001.16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125559.65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284.95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80268.960000000006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9093.15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206113.56</v>
      </c>
      <c r="D31" s="41">
        <f>SUM(D21:D30)</f>
        <v>9093.15</v>
      </c>
      <c r="E31" s="41">
        <f>SUM(E21:E30)</f>
        <v>62001.16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152743.64000000001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6463.89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392295.32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134955.31</v>
      </c>
      <c r="D47" s="95">
        <f>'DOE25'!G48</f>
        <v>400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195164.83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526584.03</v>
      </c>
      <c r="D49" s="41">
        <f>SUM(D34:D48)</f>
        <v>153143.64000000001</v>
      </c>
      <c r="E49" s="41">
        <f>SUM(E34:E48)</f>
        <v>0</v>
      </c>
      <c r="F49" s="41">
        <f>SUM(F34:F48)</f>
        <v>0</v>
      </c>
      <c r="G49" s="41">
        <f>SUM(G34:G48)</f>
        <v>392295.32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732697.59000000008</v>
      </c>
      <c r="D50" s="41">
        <f>D49+D31</f>
        <v>162236.79</v>
      </c>
      <c r="E50" s="41">
        <f>E49+E31</f>
        <v>62001.16</v>
      </c>
      <c r="F50" s="41">
        <f>F49+F31</f>
        <v>0</v>
      </c>
      <c r="G50" s="41">
        <f>G49+G31</f>
        <v>392295.32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14941115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2632.5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6308.64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254.18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422258.92000000004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114188.67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-7486.49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123129.81</v>
      </c>
      <c r="D61" s="130">
        <f>SUM(D56:D60)</f>
        <v>422258.92000000004</v>
      </c>
      <c r="E61" s="130">
        <f>SUM(E56:E60)</f>
        <v>0</v>
      </c>
      <c r="F61" s="130">
        <f>SUM(F56:F60)</f>
        <v>0</v>
      </c>
      <c r="G61" s="130">
        <f>SUM(G56:G60)</f>
        <v>-7232.3099999999995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15064244.810000001</v>
      </c>
      <c r="D62" s="22">
        <f>D55+D61</f>
        <v>422258.92000000004</v>
      </c>
      <c r="E62" s="22">
        <f>E55+E61</f>
        <v>0</v>
      </c>
      <c r="F62" s="22">
        <f>F55+F61</f>
        <v>0</v>
      </c>
      <c r="G62" s="22">
        <f>G55+G61</f>
        <v>-7232.3099999999995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558570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4423591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1856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4984017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599839.18000000005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279786.11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14850.6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4693.79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894475.89</v>
      </c>
      <c r="D77" s="130">
        <f>SUM(D71:D76)</f>
        <v>4693.79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5878492.8899999997</v>
      </c>
      <c r="D80" s="130">
        <f>SUM(D78:D79)+D77+D69</f>
        <v>4693.79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96431.12</v>
      </c>
      <c r="D87" s="95">
        <f>SUM('DOE25'!G152:G160)</f>
        <v>128333.53</v>
      </c>
      <c r="E87" s="95">
        <f>SUM('DOE25'!H152:H160)</f>
        <v>556138.97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96431.12</v>
      </c>
      <c r="D90" s="131">
        <f>SUM(D84:D89)</f>
        <v>128333.53</v>
      </c>
      <c r="E90" s="131">
        <f>SUM(E84:E89)</f>
        <v>556138.97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21039168.82</v>
      </c>
      <c r="D103" s="86">
        <f>D62+D80+D90+D102</f>
        <v>555286.24</v>
      </c>
      <c r="E103" s="86">
        <f>E62+E80+E90+E102</f>
        <v>556138.97</v>
      </c>
      <c r="F103" s="86">
        <f>F62+F80+F90+F102</f>
        <v>0</v>
      </c>
      <c r="G103" s="86">
        <f>G62+G80+G102</f>
        <v>67767.69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8408387.1999999993</v>
      </c>
      <c r="D108" s="24" t="s">
        <v>289</v>
      </c>
      <c r="E108" s="95">
        <f>('DOE25'!L275)+('DOE25'!L294)+('DOE25'!L313)</f>
        <v>294045.57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3010100.69</v>
      </c>
      <c r="D109" s="24" t="s">
        <v>289</v>
      </c>
      <c r="E109" s="95">
        <f>('DOE25'!L276)+('DOE25'!L295)+('DOE25'!L314)</f>
        <v>240742.86000000002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185413.18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748977.27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127097.39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12479975.729999999</v>
      </c>
      <c r="D114" s="86">
        <f>SUM(D108:D113)</f>
        <v>0</v>
      </c>
      <c r="E114" s="86">
        <f>SUM(E108:E113)</f>
        <v>534788.43000000005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1247640.53</v>
      </c>
      <c r="D117" s="24" t="s">
        <v>289</v>
      </c>
      <c r="E117" s="95">
        <f>+('DOE25'!L280)+('DOE25'!L299)+('DOE25'!L318)</f>
        <v>7393.24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1008500</v>
      </c>
      <c r="D118" s="24" t="s">
        <v>289</v>
      </c>
      <c r="E118" s="95">
        <f>+('DOE25'!L281)+('DOE25'!L300)+('DOE25'!L319)</f>
        <v>1275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656810.03</v>
      </c>
      <c r="D119" s="24" t="s">
        <v>289</v>
      </c>
      <c r="E119" s="95">
        <f>+('DOE25'!L282)+('DOE25'!L301)+('DOE25'!L320)</f>
        <v>10907.3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1041995.94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1946592.56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760135.23</v>
      </c>
      <c r="D123" s="24" t="s">
        <v>289</v>
      </c>
      <c r="E123" s="95">
        <f>+('DOE25'!L286)+('DOE25'!L305)+('DOE25'!L324)</f>
        <v>1775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26089.27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601851.75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6687763.5600000005</v>
      </c>
      <c r="D127" s="86">
        <f>SUM(D117:D126)</f>
        <v>601851.75</v>
      </c>
      <c r="E127" s="86">
        <f>SUM(E117:E126)</f>
        <v>21350.54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903168.5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67767.69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7232.3099999999977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2058168.5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21225907.789999999</v>
      </c>
      <c r="D144" s="86">
        <f>(D114+D127+D143)</f>
        <v>601851.75</v>
      </c>
      <c r="E144" s="86">
        <f>(E114+E127+E143)</f>
        <v>556138.97000000009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August 2004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25484800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19245000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19245000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1983168.5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1983168.5</v>
      </c>
    </row>
    <row r="158" spans="1:9" x14ac:dyDescent="0.2">
      <c r="A158" s="22" t="s">
        <v>35</v>
      </c>
      <c r="B158" s="137">
        <f>'DOE25'!F497</f>
        <v>18165000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18165000</v>
      </c>
    </row>
    <row r="159" spans="1:9" x14ac:dyDescent="0.2">
      <c r="A159" s="22" t="s">
        <v>36</v>
      </c>
      <c r="B159" s="137">
        <f>'DOE25'!F498</f>
        <v>5451995.75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5451995.75</v>
      </c>
    </row>
    <row r="160" spans="1:9" x14ac:dyDescent="0.2">
      <c r="A160" s="22" t="s">
        <v>37</v>
      </c>
      <c r="B160" s="137">
        <f>'DOE25'!F499</f>
        <v>23616995.75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23616995.75</v>
      </c>
    </row>
    <row r="161" spans="1:7" x14ac:dyDescent="0.2">
      <c r="A161" s="22" t="s">
        <v>38</v>
      </c>
      <c r="B161" s="137">
        <f>'DOE25'!F500</f>
        <v>1135000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1135000</v>
      </c>
    </row>
    <row r="162" spans="1:7" x14ac:dyDescent="0.2">
      <c r="A162" s="22" t="s">
        <v>39</v>
      </c>
      <c r="B162" s="137">
        <f>'DOE25'!F501</f>
        <v>847793.5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847793.5</v>
      </c>
    </row>
    <row r="163" spans="1:7" x14ac:dyDescent="0.2">
      <c r="A163" s="22" t="s">
        <v>246</v>
      </c>
      <c r="B163" s="137">
        <f>'DOE25'!F502</f>
        <v>1982793.5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1982793.5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WINNACUNNET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15852</v>
      </c>
    </row>
    <row r="7" spans="1:4" x14ac:dyDescent="0.2">
      <c r="B7" t="s">
        <v>705</v>
      </c>
      <c r="C7" s="179">
        <f>IF('DOE25'!I664+'DOE25'!I669=0,0,ROUND('DOE25'!I671,0))</f>
        <v>15852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8702433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3250844</v>
      </c>
      <c r="D11" s="182">
        <f>ROUND((C11/$C$28)*100,1)</f>
        <v>15.6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185413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748977</v>
      </c>
      <c r="D13" s="182">
        <f>ROUND((C13/$C$28)*100,1)</f>
        <v>3.6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1255034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1009775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693807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1041996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1946593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761910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127097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ROUND('DOE25'!L260+'DOE25'!L341,0)</f>
        <v>903169</v>
      </c>
      <c r="D25" s="182">
        <f t="shared" si="0"/>
        <v>4.3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179593.07999999996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20806641.079999998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20806641.079999998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1080000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14941115</v>
      </c>
      <c r="D35" s="182">
        <f t="shared" ref="D35:D40" si="1">ROUND((C35/$C$41)*100,1)</f>
        <v>68.8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115897.5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4982161</v>
      </c>
      <c r="D37" s="182">
        <f t="shared" si="1"/>
        <v>22.9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901026</v>
      </c>
      <c r="D38" s="182">
        <f t="shared" si="1"/>
        <v>4.0999999999999996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780904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21721103.5</v>
      </c>
      <c r="D41" s="184">
        <f>SUM(D35:D40)</f>
        <v>99.899999999999977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WINNACUNNET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2</v>
      </c>
      <c r="B4" s="219">
        <v>3</v>
      </c>
      <c r="C4" s="274" t="s">
        <v>911</v>
      </c>
      <c r="D4" s="274"/>
      <c r="E4" s="274"/>
      <c r="F4" s="274"/>
      <c r="G4" s="274"/>
      <c r="H4" s="274"/>
      <c r="I4" s="274"/>
      <c r="J4" s="274"/>
      <c r="K4" s="274"/>
      <c r="L4" s="274"/>
      <c r="M4" s="27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24</v>
      </c>
      <c r="C5" s="274" t="s">
        <v>910</v>
      </c>
      <c r="D5" s="274"/>
      <c r="E5" s="274"/>
      <c r="F5" s="274"/>
      <c r="G5" s="274"/>
      <c r="H5" s="274"/>
      <c r="I5" s="274"/>
      <c r="J5" s="274"/>
      <c r="K5" s="274"/>
      <c r="L5" s="274"/>
      <c r="M5" s="27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9</v>
      </c>
      <c r="C6" s="274" t="s">
        <v>910</v>
      </c>
      <c r="D6" s="274"/>
      <c r="E6" s="274"/>
      <c r="F6" s="274"/>
      <c r="G6" s="274"/>
      <c r="H6" s="274"/>
      <c r="I6" s="274"/>
      <c r="J6" s="274"/>
      <c r="K6" s="274"/>
      <c r="L6" s="274"/>
      <c r="M6" s="27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10</v>
      </c>
      <c r="C7" s="274" t="s">
        <v>910</v>
      </c>
      <c r="D7" s="274"/>
      <c r="E7" s="274"/>
      <c r="F7" s="274"/>
      <c r="G7" s="274"/>
      <c r="H7" s="274"/>
      <c r="I7" s="274"/>
      <c r="J7" s="274"/>
      <c r="K7" s="274"/>
      <c r="L7" s="274"/>
      <c r="M7" s="27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B0A" sheet="1" objects="1" scenarios="1"/>
  <mergeCells count="219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2013-09-17T14:14:11Z</cp:lastPrinted>
  <dcterms:created xsi:type="dcterms:W3CDTF">1997-12-04T19:04:30Z</dcterms:created>
  <dcterms:modified xsi:type="dcterms:W3CDTF">2013-12-05T19:02:12Z</dcterms:modified>
</cp:coreProperties>
</file>