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91" i="1" l="1"/>
  <c r="H490" i="1"/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I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L336" i="1" s="1"/>
  <c r="J336" i="1"/>
  <c r="J337" i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F475" i="1" s="1"/>
  <c r="H621" i="1" s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D31" i="2"/>
  <c r="C77" i="2"/>
  <c r="C80" i="2" s="1"/>
  <c r="D49" i="2"/>
  <c r="G156" i="2"/>
  <c r="F49" i="2"/>
  <c r="F50" i="2"/>
  <c r="F18" i="2"/>
  <c r="G162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I168" i="1"/>
  <c r="H168" i="1"/>
  <c r="J643" i="1"/>
  <c r="J642" i="1"/>
  <c r="J475" i="1"/>
  <c r="H625" i="1" s="1"/>
  <c r="H475" i="1"/>
  <c r="H623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G22" i="2"/>
  <c r="K544" i="1"/>
  <c r="C29" i="10"/>
  <c r="H139" i="1"/>
  <c r="L400" i="1"/>
  <c r="C138" i="2" s="1"/>
  <c r="L392" i="1"/>
  <c r="A13" i="12"/>
  <c r="F22" i="13"/>
  <c r="H25" i="13"/>
  <c r="C25" i="13" s="1"/>
  <c r="J639" i="1"/>
  <c r="H570" i="1"/>
  <c r="J544" i="1"/>
  <c r="F337" i="1"/>
  <c r="F351" i="1" s="1"/>
  <c r="G191" i="1"/>
  <c r="H191" i="1"/>
  <c r="E127" i="2"/>
  <c r="C35" i="10"/>
  <c r="D5" i="13"/>
  <c r="C5" i="13" s="1"/>
  <c r="E16" i="13"/>
  <c r="C49" i="2"/>
  <c r="J654" i="1"/>
  <c r="J644" i="1"/>
  <c r="L569" i="1"/>
  <c r="I570" i="1"/>
  <c r="I544" i="1"/>
  <c r="G36" i="2"/>
  <c r="L564" i="1"/>
  <c r="G544" i="1"/>
  <c r="L544" i="1"/>
  <c r="H544" i="1"/>
  <c r="C22" i="13"/>
  <c r="C137" i="2"/>
  <c r="C16" i="13"/>
  <c r="H33" i="13"/>
  <c r="C24" i="10"/>
  <c r="G31" i="13"/>
  <c r="G33" i="13" s="1"/>
  <c r="I337" i="1"/>
  <c r="I351" i="1" s="1"/>
  <c r="L406" i="1"/>
  <c r="C139" i="2"/>
  <c r="I191" i="1"/>
  <c r="E90" i="2"/>
  <c r="J653" i="1"/>
  <c r="J652" i="1"/>
  <c r="J433" i="1"/>
  <c r="F433" i="1"/>
  <c r="K433" i="1"/>
  <c r="G133" i="2" s="1"/>
  <c r="G143" i="2" s="1"/>
  <c r="G144" i="2" s="1"/>
  <c r="F31" i="13"/>
  <c r="F103" i="2"/>
  <c r="H192" i="1"/>
  <c r="G628" i="1" s="1"/>
  <c r="J628" i="1" s="1"/>
  <c r="G168" i="1"/>
  <c r="G139" i="1"/>
  <c r="F139" i="1"/>
  <c r="G42" i="2"/>
  <c r="G16" i="2"/>
  <c r="F544" i="1"/>
  <c r="H433" i="1"/>
  <c r="D102" i="2"/>
  <c r="I139" i="1"/>
  <c r="A22" i="12"/>
  <c r="J651" i="1"/>
  <c r="J641" i="1"/>
  <c r="G570" i="1"/>
  <c r="I433" i="1"/>
  <c r="G433" i="1"/>
  <c r="L559" i="1" l="1"/>
  <c r="L570" i="1" s="1"/>
  <c r="D50" i="2"/>
  <c r="J621" i="1"/>
  <c r="G62" i="2"/>
  <c r="K597" i="1"/>
  <c r="G646" i="1" s="1"/>
  <c r="J646" i="1" s="1"/>
  <c r="J619" i="1"/>
  <c r="J623" i="1"/>
  <c r="H51" i="1"/>
  <c r="H618" i="1" s="1"/>
  <c r="J618" i="1" s="1"/>
  <c r="G103" i="2"/>
  <c r="J192" i="1"/>
  <c r="E103" i="2"/>
  <c r="H337" i="1"/>
  <c r="H351" i="1" s="1"/>
  <c r="E109" i="2"/>
  <c r="E114" i="2" s="1"/>
  <c r="H647" i="1"/>
  <c r="E144" i="2"/>
  <c r="L308" i="1"/>
  <c r="G659" i="1" s="1"/>
  <c r="G663" i="1" s="1"/>
  <c r="G671" i="1" s="1"/>
  <c r="C5" i="10" s="1"/>
  <c r="F33" i="13"/>
  <c r="G163" i="2"/>
  <c r="G160" i="2"/>
  <c r="J648" i="1"/>
  <c r="E33" i="13"/>
  <c r="D35" i="13" s="1"/>
  <c r="C127" i="2"/>
  <c r="F659" i="1"/>
  <c r="F663" i="1" s="1"/>
  <c r="L256" i="1"/>
  <c r="L270" i="1" s="1"/>
  <c r="G631" i="1" s="1"/>
  <c r="J631" i="1" s="1"/>
  <c r="C50" i="2"/>
  <c r="F51" i="1"/>
  <c r="H616" i="1" s="1"/>
  <c r="J616" i="1" s="1"/>
  <c r="F192" i="1"/>
  <c r="G626" i="1" s="1"/>
  <c r="J626" i="1" s="1"/>
  <c r="C39" i="10"/>
  <c r="C103" i="2"/>
  <c r="C38" i="10"/>
  <c r="J633" i="1"/>
  <c r="L361" i="1"/>
  <c r="G634" i="1" s="1"/>
  <c r="J634" i="1" s="1"/>
  <c r="G192" i="1"/>
  <c r="G627" i="1" s="1"/>
  <c r="J627" i="1" s="1"/>
  <c r="G51" i="1"/>
  <c r="H617" i="1" s="1"/>
  <c r="J617" i="1" s="1"/>
  <c r="J635" i="1"/>
  <c r="L407" i="1"/>
  <c r="G636" i="1"/>
  <c r="J636" i="1" s="1"/>
  <c r="H645" i="1"/>
  <c r="C140" i="2"/>
  <c r="C143" i="2" s="1"/>
  <c r="C144" i="2" s="1"/>
  <c r="J647" i="1"/>
  <c r="D103" i="2"/>
  <c r="H671" i="1"/>
  <c r="C6" i="10" s="1"/>
  <c r="H666" i="1"/>
  <c r="G21" i="2"/>
  <c r="G31" i="2" s="1"/>
  <c r="J32" i="1"/>
  <c r="G8" i="2"/>
  <c r="G18" i="2" s="1"/>
  <c r="J19" i="1"/>
  <c r="G620" i="1" s="1"/>
  <c r="I551" i="1"/>
  <c r="K549" i="1"/>
  <c r="K550" i="1"/>
  <c r="F551" i="1"/>
  <c r="K548" i="1"/>
  <c r="I192" i="1"/>
  <c r="G629" i="1" s="1"/>
  <c r="J629" i="1" s="1"/>
  <c r="C36" i="10"/>
  <c r="I662" i="1"/>
  <c r="J551" i="1"/>
  <c r="H551" i="1"/>
  <c r="G551" i="1"/>
  <c r="G44" i="2"/>
  <c r="G49" i="2" s="1"/>
  <c r="G50" i="2" s="1"/>
  <c r="J50" i="1"/>
  <c r="K551" i="1" l="1"/>
  <c r="J645" i="1"/>
  <c r="G645" i="1"/>
  <c r="G630" i="1"/>
  <c r="J630" i="1" s="1"/>
  <c r="G666" i="1"/>
  <c r="D31" i="13"/>
  <c r="C31" i="13" s="1"/>
  <c r="I659" i="1"/>
  <c r="L337" i="1"/>
  <c r="L351" i="1" s="1"/>
  <c r="G632" i="1" s="1"/>
  <c r="J632" i="1" s="1"/>
  <c r="I663" i="1"/>
  <c r="I666" i="1" s="1"/>
  <c r="C27" i="10"/>
  <c r="C28" i="10" s="1"/>
  <c r="D17" i="10" s="1"/>
  <c r="G625" i="1"/>
  <c r="J625" i="1" s="1"/>
  <c r="J51" i="1"/>
  <c r="H620" i="1" s="1"/>
  <c r="J620" i="1" s="1"/>
  <c r="F671" i="1"/>
  <c r="C4" i="10" s="1"/>
  <c r="F666" i="1"/>
  <c r="C41" i="10"/>
  <c r="H655" i="1" l="1"/>
  <c r="D33" i="13"/>
  <c r="D36" i="13" s="1"/>
  <c r="I671" i="1"/>
  <c r="C7" i="10" s="1"/>
  <c r="C30" i="10"/>
  <c r="D11" i="10"/>
  <c r="D16" i="10"/>
  <c r="D26" i="10"/>
  <c r="D18" i="10"/>
  <c r="D10" i="10"/>
  <c r="D13" i="10"/>
  <c r="D22" i="10"/>
  <c r="D27" i="10"/>
  <c r="D23" i="10"/>
  <c r="D21" i="10"/>
  <c r="D15" i="10"/>
  <c r="D12" i="10"/>
  <c r="D24" i="10"/>
  <c r="D20" i="10"/>
  <c r="D25" i="10"/>
  <c r="D19" i="10"/>
  <c r="D37" i="10"/>
  <c r="D35" i="10"/>
  <c r="D39" i="10"/>
  <c r="D38" i="10"/>
  <c r="D40" i="10"/>
  <c r="D36" i="10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<sst xmlns="http://schemas.openxmlformats.org/spreadsheetml/2006/main" count="3948" uniqueCount="914">
  <si>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</si>
  <si>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</si>
  <si>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</si>
  <si>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</si>
  <si>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</si>
  <si>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</si>
  <si>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</si>
  <si>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</si>
  <si>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</si>
  <si>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</si>
  <si>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</si>
  <si>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</si>
  <si>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</si>
  <si>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</si>
  <si>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</si>
  <si>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</si>
  <si>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</si>
  <si>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</si>
  <si>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</si>
  <si>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</si>
  <si>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</si>
  <si>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</si>
  <si>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</si>
  <si>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</si>
  <si>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</si>
  <si>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</si>
  <si>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</si>
  <si>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</si>
  <si>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</si>
  <si>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</si>
  <si>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</si>
  <si>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</si>
  <si>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</si>
  <si>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</si>
  <si>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</si>
  <si>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</si>
  <si>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</si>
  <si>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</si>
  <si>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</si>
  <si>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</si>
  <si>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</si>
  <si>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</si>
  <si>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</si>
  <si>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</si>
  <si>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</si>
  <si>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</si>
  <si>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</si>
  <si>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</si>
  <si>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</si>
  <si>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</si>
  <si>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</si>
  <si>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</si>
  <si>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</si>
  <si>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</si>
  <si>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</si>
  <si>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</si>
  <si>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</si>
  <si>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</si>
  <si>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</si>
  <si>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</si>
  <si>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</si>
  <si>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</si>
  <si>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</si>
  <si>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</si>
  <si>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</si>
  <si>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</si>
  <si>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</si>
  <si>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</si>
  <si>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</si>
  <si>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</si>
  <si>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</si>
  <si>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</si>
  <si>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</si>
  <si>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</si>
  <si>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</si>
  <si>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</si>
  <si>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</si>
  <si>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</si>
  <si>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</si>
  <si>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</si>
  <si>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</si>
  <si>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</si>
  <si>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</si>
  <si>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</si>
  <si>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</si>
  <si>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</si>
  <si>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</si>
  <si>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</si>
  <si>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</si>
  <si>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</si>
  <si>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</si>
  <si>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</si>
  <si>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</si>
  <si>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</si>
  <si>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</si>
  <si>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</si>
  <si>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</si>
  <si>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</si>
  <si>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</si>
  <si>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</si>
  <si>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</si>
  <si>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</si>
  <si>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</si>
  <si>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</si>
  <si>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</si>
  <si>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</si>
  <si>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</si>
  <si>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</si>
  <si>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</si>
  <si>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</si>
  <si>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</si>
  <si>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</si>
  <si>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</si>
  <si>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</si>
  <si>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</si>
  <si>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</si>
  <si>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</si>
  <si>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</si>
  <si>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</si>
  <si>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</si>
  <si>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</si>
  <si>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</si>
  <si>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</si>
  <si>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</si>
  <si>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</si>
  <si>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</si>
  <si>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</si>
  <si>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</si>
  <si>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</si>
  <si>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</si>
  <si>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</si>
  <si>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</si>
  <si>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</si>
  <si>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</si>
  <si>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</si>
  <si>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</si>
  <si>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</si>
  <si>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</si>
  <si>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</si>
  <si>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</si>
  <si>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</si>
  <si>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</si>
  <si>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</si>
  <si>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</si>
  <si>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</si>
  <si>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</si>
  <si>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</si>
  <si>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</si>
  <si>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</si>
  <si>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</si>
  <si>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</si>
  <si>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</si>
  <si>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</si>
  <si>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</si>
  <si>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</si>
  <si>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</si>
  <si>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</si>
  <si>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</si>
  <si>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</si>
  <si>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</si>
  <si>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</si>
  <si>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</si>
  <si>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</si>
  <si>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</si>
  <si>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</si>
  <si>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</si>
  <si>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</si>
  <si>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</si>
  <si>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</si>
  <si>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</si>
  <si>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</si>
  <si>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</si>
  <si>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</si>
  <si>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</si>
  <si>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</si>
  <si>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</si>
  <si>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</si>
  <si>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</si>
  <si>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</si>
  <si>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</si>
  <si>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</si>
  <si>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</si>
  <si>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</si>
  <si>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</si>
  <si>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</si>
  <si>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</si>
  <si>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</si>
  <si>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</si>
  <si>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</si>
  <si>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</si>
  <si>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</si>
  <si>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</si>
  <si>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</si>
  <si>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</si>
  <si>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</si>
  <si>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</si>
  <si>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</si>
  <si>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</si>
  <si>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</si>
  <si>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</si>
  <si>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</si>
  <si>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</si>
  <si>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</si>
  <si>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</si>
  <si>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</si>
  <si>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</si>
  <si>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</si>
  <si>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</si>
  <si>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</si>
  <si>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</si>
  <si>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</si>
  <si>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</si>
  <si>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</si>
  <si>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</si>
  <si>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</si>
  <si>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</si>
  <si>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</si>
  <si>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</si>
  <si>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</si>
  <si>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</si>
  <si>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</si>
  <si>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</si>
  <si>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</si>
  <si>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</si>
  <si>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</si>
  <si>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</si>
  <si>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</si>
  <si>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</si>
  <si>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</si>
  <si>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</si>
  <si>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</si>
  <si>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</si>
  <si>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</si>
  <si>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</si>
  <si>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</si>
  <si>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</si>
  <si>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</si>
  <si>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</si>
  <si>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</si>
  <si>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</si>
  <si>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</si>
  <si>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</si>
  <si>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</si>
  <si>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</si>
  <si>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</si>
  <si>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</si>
  <si>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</si>
  <si>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</si>
  <si>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</si>
  <si>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</si>
  <si>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</si>
  <si>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</si>
  <si>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</si>
  <si>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</si>
  <si>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</si>
  <si>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</si>
  <si>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</si>
  <si>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</si>
  <si>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</si>
  <si>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</si>
  <si>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</si>
  <si>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</si>
  <si>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</si>
  <si>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</si>
  <si>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</si>
  <si>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</si>
  <si>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</si>
  <si>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</si>
  <si>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</si>
  <si>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</si>
  <si>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</si>
  <si>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</si>
  <si>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</si>
  <si>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</si>
  <si>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</si>
  <si>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</si>
  <si>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</si>
  <si>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</si>
  <si>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</si>
  <si>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</si>
  <si>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</si>
  <si>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</si>
  <si>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</si>
  <si>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</si>
  <si>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</si>
  <si>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</si>
  <si>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</si>
  <si>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</si>
  <si>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</si>
  <si>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</si>
  <si>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</si>
  <si>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</si>
  <si>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</si>
  <si>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</si>
  <si>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</si>
  <si>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</si>
  <si>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</si>
  <si>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</si>
  <si>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</si>
  <si>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</si>
  <si>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</si>
  <si>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</si>
  <si>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</si>
  <si>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</si>
  <si>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</si>
  <si>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</si>
  <si>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</si>
  <si>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</si>
  <si>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</si>
  <si>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</si>
  <si>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</si>
  <si>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</si>
  <si>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</si>
  <si>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</si>
  <si>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</si>
  <si>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</si>
  <si>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</si>
  <si>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</si>
  <si>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</si>
  <si>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</si>
  <si>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</si>
  <si>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</si>
  <si>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</si>
  <si>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</si>
  <si>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</si>
  <si>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</si>
  <si>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</si>
  <si>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</si>
  <si>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</si>
  <si>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</si>
  <si>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</si>
  <si>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</si>
  <si>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</si>
  <si>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</si>
  <si>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</si>
  <si>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</si>
  <si>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</si>
  <si>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</si>
  <si>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</si>
  <si>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</si>
  <si>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</si>
  <si>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</si>
  <si>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</si>
  <si>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</si>
  <si>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</si>
  <si>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</si>
  <si>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</si>
  <si>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</si>
  <si>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</si>
  <si>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</si>
  <si>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</si>
  <si>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</si>
  <si>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</si>
  <si>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</si>
  <si>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</si>
  <si>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</si>
  <si>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</si>
  <si>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</si>
  <si>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</si>
  <si>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</si>
  <si>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</si>
  <si>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</si>
  <si>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</si>
  <si>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</si>
  <si>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</si>
  <si>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</si>
  <si>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</si>
  <si>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</si>
  <si>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</si>
  <si>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</si>
  <si>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</si>
  <si>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</si>
  <si>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</si>
  <si>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</si>
  <si>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</si>
  <si>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</si>
  <si>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</si>
  <si>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</si>
  <si>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</si>
  <si>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</si>
  <si>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</si>
  <si>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</si>
  <si>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</si>
  <si>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</si>
  <si>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</si>
  <si>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</si>
  <si>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</si>
  <si>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</si>
  <si>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</si>
  <si>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</si>
  <si>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</si>
  <si>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</si>
  <si>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</si>
  <si>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</si>
  <si>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</si>
  <si>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</si>
  <si>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</si>
  <si>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</si>
  <si>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</si>
  <si>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</si>
  <si>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</si>
  <si>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</si>
  <si>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</si>
  <si>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</si>
  <si>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</si>
  <si>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</si>
  <si>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</si>
  <si>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</si>
  <si>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</si>
  <si>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</si>
  <si>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</si>
  <si>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</si>
  <si>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</si>
  <si>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</si>
  <si>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</si>
  <si>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</si>
  <si>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</si>
  <si>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</si>
  <si>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</si>
  <si>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</si>
  <si>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</si>
  <si>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</si>
  <si>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</si>
  <si>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</si>
  <si>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</si>
  <si>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</si>
  <si>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</si>
  <si>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</si>
  <si>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</si>
  <si>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</si>
  <si>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</si>
  <si>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</si>
  <si>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</si>
  <si>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</si>
  <si>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</si>
  <si>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</si>
  <si>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</si>
  <si>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</si>
  <si>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</si>
  <si>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</si>
  <si>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</si>
  <si>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</si>
  <si>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</si>
  <si>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</si>
  <si>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</si>
  <si>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</si>
  <si>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</si>
  <si>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</si>
  <si>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</si>
  <si>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</si>
  <si>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</si>
  <si>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</si>
  <si>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</si>
  <si>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</si>
  <si>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</si>
  <si>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</si>
  <si>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</si>
  <si>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</si>
  <si>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</si>
  <si>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</si>
  <si>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</si>
  <si>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</si>
  <si>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</si>
  <si>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</si>
  <si>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</si>
  <si>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</si>
  <si>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</si>
  <si>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</si>
  <si>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</si>
  <si>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</si>
  <si>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</si>
  <si>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</si>
  <si>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</si>
  <si>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</si>
  <si>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</si>
  <si>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</si>
  <si>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</si>
  <si>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</si>
  <si>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</si>
  <si>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</si>
  <si>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</si>
  <si>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</si>
  <si>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</si>
  <si>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</si>
  <si>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</si>
  <si>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</si>
  <si>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</si>
  <si>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</si>
  <si>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</si>
  <si>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</si>
  <si>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</si>
  <si>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</si>
  <si>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</si>
  <si>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</si>
  <si>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</si>
  <si>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</si>
  <si>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</si>
  <si>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</si>
  <si>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</si>
  <si>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</si>
  <si>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</si>
  <si>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</si>
  <si>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</si>
  <si>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</si>
  <si>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</si>
  <si>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</si>
  <si>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</si>
  <si>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</si>
  <si>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</si>
  <si>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</si>
  <si>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</si>
  <si>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</si>
  <si>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</si>
  <si>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</si>
  <si>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</si>
  <si>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</si>
  <si>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</si>
  <si>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</si>
  <si>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</si>
  <si>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</si>
  <si>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</si>
  <si>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</si>
  <si>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</si>
  <si>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</si>
  <si>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</si>
  <si>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</si>
  <si>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</si>
  <si>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</si>
  <si>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</si>
  <si>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</si>
  <si>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</si>
  <si>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</si>
  <si>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</si>
  <si>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</si>
  <si>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</si>
  <si>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</si>
  <si>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</si>
  <si>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</si>
  <si>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</si>
  <si>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</si>
  <si>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</si>
  <si>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</si>
  <si>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</si>
  <si>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</si>
  <si>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</si>
  <si>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</si>
  <si>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</si>
  <si>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</si>
  <si>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</si>
  <si>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</si>
  <si>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</si>
  <si>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</si>
  <si>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</si>
  <si>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</si>
  <si>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</si>
  <si>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</si>
  <si>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</si>
  <si>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</si>
  <si>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</si>
  <si>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</si>
  <si>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</si>
  <si>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</si>
  <si>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</si>
  <si>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</si>
  <si>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</si>
  <si>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</si>
  <si>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</si>
  <si>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</si>
  <si>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</si>
  <si>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</si>
  <si>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</si>
  <si>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</si>
  <si>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</si>
  <si>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</si>
  <si>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</si>
  <si>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</si>
  <si>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</si>
  <si>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</si>
  <si>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</si>
  <si>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</si>
  <si>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</si>
  <si>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</si>
  <si>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</si>
  <si>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</si>
  <si>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</si>
  <si>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</si>
  <si>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</si>
  <si>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</si>
  <si>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</si>
  <si>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</si>
  <si>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</si>
  <si>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</si>
  <si>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</si>
  <si>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</si>
  <si>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</si>
  <si>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</si>
  <si>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</si>
  <si>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</si>
  <si>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</si>
  <si>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</si>
  <si>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</si>
  <si>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</si>
  <si>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</si>
  <si>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</si>
  <si>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</si>
  <si>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</si>
  <si>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</si>
  <si>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</si>
  <si>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</si>
  <si>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</si>
  <si>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</si>
  <si>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</si>
  <si>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</si>
  <si>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</si>
  <si>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</si>
  <si>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</si>
  <si>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</si>
  <si>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</si>
  <si>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</si>
  <si>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</si>
  <si>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</si>
  <si>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</si>
  <si>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</si>
  <si>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</si>
  <si>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</si>
  <si>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</si>
  <si>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</si>
  <si>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</si>
  <si>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</si>
  <si>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</si>
  <si>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</si>
  <si>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</si>
  <si>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</si>
  <si>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</si>
  <si>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</si>
  <si>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</si>
  <si>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</si>
  <si>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</si>
  <si>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</si>
  <si>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</si>
  <si>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</si>
  <si>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</si>
  <si>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</si>
  <si>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</si>
  <si>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</si>
  <si>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</si>
  <si>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</si>
  <si>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</si>
  <si>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</si>
  <si>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</si>
  <si>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</si>
  <si>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</si>
  <si>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</si>
  <si>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</si>
  <si>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</si>
  <si>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</si>
  <si>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</si>
  <si>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</si>
  <si>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</si>
  <si>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</si>
  <si>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</si>
  <si>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</si>
  <si>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</si>
  <si>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</si>
  <si>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</si>
  <si>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</si>
  <si>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</si>
  <si>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</si>
  <si>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</si>
  <si>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</si>
  <si>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</si>
  <si>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</si>
  <si>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</si>
  <si>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</si>
  <si>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</si>
  <si>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</si>
  <si>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</si>
  <si>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</si>
  <si>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</si>
  <si>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</si>
  <si>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</si>
  <si>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</si>
  <si>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</si>
  <si>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</si>
  <si>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</si>
  <si>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</si>
  <si>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</si>
  <si>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</si>
  <si>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</si>
  <si>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</si>
  <si>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</si>
  <si>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</si>
  <si>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</si>
  <si>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</si>
  <si>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</si>
  <si>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</si>
  <si>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</si>
  <si>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</si>
  <si>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</si>
  <si>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</si>
  <si>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</si>
  <si>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</si>
  <si>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</si>
  <si>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</si>
  <si>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</si>
  <si>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</si>
  <si>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</si>
  <si>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</si>
  <si>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</si>
  <si>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</si>
  <si>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</si>
  <si>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</si>
  <si>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</si>
  <si>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</si>
  <si>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</si>
  <si>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</si>
  <si>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</si>
  <si>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</si>
  <si>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</si>
  <si>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</si>
  <si>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</si>
  <si>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</si>
  <si>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</si>
  <si>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</si>
  <si>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</si>
  <si>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</si>
  <si>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</si>
  <si>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</si>
  <si>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</si>
  <si>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</si>
  <si>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</si>
  <si>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</si>
  <si>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</si>
  <si>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</si>
  <si>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</si>
  <si>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</si>
  <si>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</si>
  <si>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</si>
  <si>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</si>
  <si>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</si>
  <si>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</si>
  <si>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</si>
  <si>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</si>
  <si>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</si>
  <si>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</si>
  <si>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</si>
  <si>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</si>
  <si>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</si>
  <si>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</si>
  <si>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</si>
  <si>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</si>
  <si>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</si>
  <si>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</si>
  <si>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</si>
  <si>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</si>
  <si>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</si>
  <si>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</si>
  <si>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</si>
  <si>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</si>
  <si>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</si>
  <si>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</si>
  <si>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</si>
  <si>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</si>
  <si>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</si>
  <si>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</si>
  <si>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</si>
  <si>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</si>
  <si>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</si>
  <si>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</si>
  <si>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</si>
  <si>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</si>
  <si>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</si>
  <si>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</si>
  <si>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</si>
  <si>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</si>
  <si>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</si>
  <si>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</si>
  <si>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</si>
  <si>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</si>
  <si>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</si>
  <si>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</si>
  <si>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</si>
  <si>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</si>
  <si>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</si>
  <si>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</si>
  <si>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</si>
  <si>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</si>
  <si>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</si>
  <si>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</si>
  <si>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</si>
  <si>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</si>
  <si>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</si>
  <si>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</si>
  <si>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</si>
  <si>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</si>
  <si>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</si>
  <si>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</si>
  <si>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</si>
  <si>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</si>
  <si>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</si>
  <si>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</si>
  <si>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</si>
  <si>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</si>
  <si>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</si>
  <si>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</si>
  <si>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</si>
  <si>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</si>
  <si>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</si>
  <si>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</si>
  <si>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</si>
  <si>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</si>
  <si>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</si>
  <si>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</si>
  <si>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</si>
  <si>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</si>
  <si>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</si>
  <si>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</si>
  <si>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</si>
  <si>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</si>
  <si>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</si>
  <si>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</si>
  <si>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</si>
  <si>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</si>
  <si>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</si>
  <si>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</si>
  <si>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</si>
  <si>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</si>
  <si>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</si>
  <si>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</si>
  <si>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</si>
  <si>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</si>
  <si>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</si>
  <si>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</si>
  <si>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</si>
  <si>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</si>
  <si>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</si>
  <si>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</si>
  <si>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</si>
  <si>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</si>
  <si>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</si>
  <si>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</si>
  <si>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</si>
  <si>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</si>
  <si>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</si>
  <si>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</si>
  <si>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</si>
  <si>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</si>
  <si>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</si>
  <si>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</si>
  <si>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</si>
  <si>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</si>
  <si>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</si>
  <si>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</si>
  <si>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</si>
  <si>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</si>
  <si>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</si>
  <si>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</si>
  <si>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</si>
  <si>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</si>
  <si>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</si>
  <si>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</si>
  <si>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</si>
  <si>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</si>
  <si>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</si>
  <si>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</si>
  <si>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</si>
  <si>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</si>
  <si>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</si>
  <si>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</si>
  <si>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</si>
  <si>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</si>
  <si>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</si>
  <si>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</si>
  <si>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</si>
  <si>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</si>
  <si>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</si>
  <si>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</si>
  <si>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</si>
  <si>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</si>
  <si>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</si>
  <si>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</si>
  <si>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</si>
  <si>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</si>
  <si>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</si>
  <si>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</si>
  <si>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</si>
  <si>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</si>
  <si>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</si>
  <si>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</si>
  <si>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</si>
  <si>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</si>
  <si>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</si>
  <si>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</si>
  <si>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</si>
  <si>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</si>
  <si>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</si>
  <si>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</si>
  <si>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</si>
  <si>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</si>
  <si>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</si>
  <si>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</si>
  <si>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</si>
  <si>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</si>
  <si>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</si>
  <si>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</si>
  <si>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</si>
  <si>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</si>
  <si>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</si>
  <si>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</si>
  <si>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1/03</t>
  </si>
  <si>
    <t>1/15</t>
  </si>
  <si>
    <t>3/11</t>
  </si>
  <si>
    <t>8/21</t>
  </si>
  <si>
    <t>Winnisquam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</si>
</sst>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  <pageSetUpPr fitToPage="1"/>
  </sheetPr>
  <dimension ref="A1:AQ675"/>
  <sheetViews>
    <sheetView tabSelected="1" zoomScale="85" zoomScaleNormal="85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582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1823833.95</v>
      </c>
      <c r="G9" s="18">
        <v>555.76</v>
      </c>
      <c r="H9" s="18">
        <v>993.74</v>
      </c>
      <c r="I9" s="18"/>
      <c r="J9" s="67">
        <f>SUM(I438)</f>
        <v>1109051.6000000001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39554.089999999997</v>
      </c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370677.69</v>
      </c>
      <c r="G12" s="18">
        <v>104864.9</v>
      </c>
      <c r="H12" s="18">
        <v>1134.19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62372.58</v>
      </c>
      <c r="H13" s="18">
        <v>247180.22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105436.72</v>
      </c>
      <c r="G14" s="18">
        <v>2982.05</v>
      </c>
      <c r="H14" s="18">
        <v>2099.16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12463.36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2312411.7200000002</v>
      </c>
      <c r="G19" s="41">
        <f>SUM(G9:G18)</f>
        <v>170775.28999999998</v>
      </c>
      <c r="H19" s="41">
        <f>SUM(H9:H18)</f>
        <v>251407.31</v>
      </c>
      <c r="I19" s="41">
        <f>SUM(I9:I18)</f>
        <v>39554.089999999997</v>
      </c>
      <c r="J19" s="41">
        <f>SUM(J9:J18)</f>
        <v>1109051.6000000001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230230.16</v>
      </c>
      <c r="G22" s="18"/>
      <c r="H22" s="18">
        <v>241768.1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438292.81</v>
      </c>
      <c r="G24" s="18">
        <v>1244.94</v>
      </c>
      <c r="H24" s="18"/>
      <c r="I24" s="18"/>
      <c r="J24" s="67">
        <f>SUM(I449)</f>
        <v>48019.61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85036.73</v>
      </c>
      <c r="G28" s="18">
        <v>4536.7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380469.81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7468.57</v>
      </c>
      <c r="H30" s="18">
        <v>7448.31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195.08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1134224.5900000001</v>
      </c>
      <c r="G32" s="41">
        <f>SUM(G22:G31)</f>
        <v>13250.21</v>
      </c>
      <c r="H32" s="41">
        <f>SUM(H22:H31)</f>
        <v>249216.41</v>
      </c>
      <c r="I32" s="41">
        <f>SUM(I22:I31)</f>
        <v>0</v>
      </c>
      <c r="J32" s="41">
        <f>SUM(J22:J31)</f>
        <v>48019.61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372483.39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157525.07999999999</v>
      </c>
      <c r="H47" s="18">
        <v>2190.9</v>
      </c>
      <c r="I47" s="18">
        <v>39554.089999999997</v>
      </c>
      <c r="J47" s="13">
        <f>SUM(I458)</f>
        <v>1061031.99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330703.74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1178187.1299999999</v>
      </c>
      <c r="G50" s="41">
        <f>SUM(G35:G49)</f>
        <v>157525.07999999999</v>
      </c>
      <c r="H50" s="41">
        <f>SUM(H35:H49)</f>
        <v>2190.9</v>
      </c>
      <c r="I50" s="41">
        <f>SUM(I35:I49)</f>
        <v>39554.089999999997</v>
      </c>
      <c r="J50" s="41">
        <f>SUM(J35:J49)</f>
        <v>1061031.99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2312411.7199999997</v>
      </c>
      <c r="G51" s="41">
        <f>G50+G32</f>
        <v>170775.28999999998</v>
      </c>
      <c r="H51" s="41">
        <f>H50+H32</f>
        <v>251407.31</v>
      </c>
      <c r="I51" s="41">
        <f>I50+I32</f>
        <v>39554.089999999997</v>
      </c>
      <c r="J51" s="41">
        <f>J50+J32</f>
        <v>1109051.6000000001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11479691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11479691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1878.72</v>
      </c>
      <c r="G63" s="24" t="s">
        <v>289</v>
      </c>
      <c r="H63" s="18">
        <v>1614.76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83762.350000000006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46975.08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132616.15000000002</v>
      </c>
      <c r="G78" s="45" t="s">
        <v>289</v>
      </c>
      <c r="H78" s="41">
        <f>SUM(H62:H77)</f>
        <v>1614.76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6020.56</v>
      </c>
      <c r="G95" s="18">
        <v>1.64</v>
      </c>
      <c r="H95" s="18">
        <v>0.27</v>
      </c>
      <c r="I95" s="18"/>
      <c r="J95" s="18">
        <v>3941.35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331917.2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1818.34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5422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921.3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23983.21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172567.69</v>
      </c>
      <c r="G109" s="18"/>
      <c r="H109" s="18">
        <v>6040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209811.8</v>
      </c>
      <c r="G110" s="41">
        <f>SUM(G95:G109)</f>
        <v>331918.84000000003</v>
      </c>
      <c r="H110" s="41">
        <f>SUM(H95:H109)</f>
        <v>6961.57</v>
      </c>
      <c r="I110" s="41">
        <f>SUM(I95:I109)</f>
        <v>0</v>
      </c>
      <c r="J110" s="41">
        <f>SUM(J95:J109)</f>
        <v>3941.35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11822118.950000001</v>
      </c>
      <c r="G111" s="41">
        <f>G59+G110</f>
        <v>331918.84000000003</v>
      </c>
      <c r="H111" s="41">
        <f>H59+H78+H93+H110</f>
        <v>8576.33</v>
      </c>
      <c r="I111" s="41">
        <f>I59+I110</f>
        <v>0</v>
      </c>
      <c r="J111" s="41">
        <f>J59+J110</f>
        <v>3941.35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6335661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2915516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1856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9253033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844383.04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205605.73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77403.63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12247.43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8333.23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1139639.8299999998</v>
      </c>
      <c r="G135" s="41">
        <f>SUM(G122:G134)</f>
        <v>8333.23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10392672.83</v>
      </c>
      <c r="G139" s="41">
        <f>G120+SUM(G135:G136)</f>
        <v>8333.23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428465.13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135947.85999999999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64980.82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320465.55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401681.82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193159.91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8631.1200000000008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201791.03</v>
      </c>
      <c r="G161" s="41">
        <f>SUM(G149:G160)</f>
        <v>320465.55</v>
      </c>
      <c r="H161" s="41">
        <f>SUM(H149:H160)</f>
        <v>1031075.6299999999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201791.03</v>
      </c>
      <c r="G168" s="41">
        <f>G146+G161+SUM(G162:G167)</f>
        <v>320465.55</v>
      </c>
      <c r="H168" s="41">
        <f>H146+H161+SUM(H162:H167)</f>
        <v>1031075.6299999999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10443.52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10443.52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141827.41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141827.41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152270.93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22568853.740000002</v>
      </c>
      <c r="G192" s="47">
        <f>G111+G139+G168+G191</f>
        <v>660717.62</v>
      </c>
      <c r="H192" s="47">
        <f>H111+H139+H168+H191</f>
        <v>1039651.9599999998</v>
      </c>
      <c r="I192" s="47">
        <f>I111+I139+I168+I191</f>
        <v>0</v>
      </c>
      <c r="J192" s="47">
        <f>J111+J139+J191</f>
        <v>503941.35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2217956.77</v>
      </c>
      <c r="G196" s="18">
        <v>856414.41</v>
      </c>
      <c r="H196" s="18">
        <v>1610</v>
      </c>
      <c r="I196" s="18">
        <v>100510.05</v>
      </c>
      <c r="J196" s="18">
        <v>9651.5</v>
      </c>
      <c r="K196" s="18"/>
      <c r="L196" s="19">
        <f>SUM(F196:K196)</f>
        <v>3186142.73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780648.82</v>
      </c>
      <c r="G197" s="18">
        <v>284436.82</v>
      </c>
      <c r="H197" s="18">
        <v>263169.28000000003</v>
      </c>
      <c r="I197" s="18">
        <v>5735.76</v>
      </c>
      <c r="J197" s="18">
        <v>567.96</v>
      </c>
      <c r="K197" s="18">
        <v>6326.85</v>
      </c>
      <c r="L197" s="19">
        <f>SUM(F197:K197)</f>
        <v>1340885.49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3000.08</v>
      </c>
      <c r="G199" s="18">
        <v>517.4</v>
      </c>
      <c r="H199" s="18"/>
      <c r="I199" s="18"/>
      <c r="J199" s="18"/>
      <c r="K199" s="18"/>
      <c r="L199" s="19">
        <f>SUM(F199:K199)</f>
        <v>3517.48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371489.69</v>
      </c>
      <c r="G201" s="18">
        <v>151364.87</v>
      </c>
      <c r="H201" s="18">
        <v>40003.040000000001</v>
      </c>
      <c r="I201" s="18">
        <v>6530.87</v>
      </c>
      <c r="J201" s="18">
        <v>1618.95</v>
      </c>
      <c r="K201" s="18">
        <v>169</v>
      </c>
      <c r="L201" s="19">
        <f t="shared" ref="L201:L207" si="0">SUM(F201:K201)</f>
        <v>571176.41999999993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71724.5</v>
      </c>
      <c r="G202" s="18">
        <v>69043.88</v>
      </c>
      <c r="H202" s="18">
        <v>24179.22</v>
      </c>
      <c r="I202" s="18">
        <v>15738.42</v>
      </c>
      <c r="J202" s="18"/>
      <c r="K202" s="18">
        <v>486.43</v>
      </c>
      <c r="L202" s="19">
        <f t="shared" si="0"/>
        <v>181172.45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309694.51</v>
      </c>
      <c r="G203" s="18">
        <v>113327.67999999999</v>
      </c>
      <c r="H203" s="18">
        <v>104219.36</v>
      </c>
      <c r="I203" s="18">
        <v>14401.07</v>
      </c>
      <c r="J203" s="18">
        <v>72612.36</v>
      </c>
      <c r="K203" s="18">
        <v>4120.5200000000004</v>
      </c>
      <c r="L203" s="19">
        <f t="shared" si="0"/>
        <v>618375.5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358456.91</v>
      </c>
      <c r="G204" s="18">
        <v>143514.6</v>
      </c>
      <c r="H204" s="18">
        <v>35112.26</v>
      </c>
      <c r="I204" s="18">
        <v>927.3</v>
      </c>
      <c r="J204" s="18"/>
      <c r="K204" s="18">
        <v>2803.5</v>
      </c>
      <c r="L204" s="19">
        <f t="shared" si="0"/>
        <v>540814.57000000007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91683.42</v>
      </c>
      <c r="G205" s="18">
        <v>38411.86</v>
      </c>
      <c r="H205" s="18"/>
      <c r="I205" s="18"/>
      <c r="J205" s="18"/>
      <c r="K205" s="18"/>
      <c r="L205" s="19">
        <f t="shared" si="0"/>
        <v>130095.28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292559.34000000003</v>
      </c>
      <c r="G206" s="18">
        <v>137224.01</v>
      </c>
      <c r="H206" s="18">
        <v>296620.15999999997</v>
      </c>
      <c r="I206" s="18">
        <v>194506.19</v>
      </c>
      <c r="J206" s="18">
        <v>58263.63</v>
      </c>
      <c r="K206" s="18">
        <v>3.98</v>
      </c>
      <c r="L206" s="19">
        <f t="shared" si="0"/>
        <v>979177.30999999994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298599.08</v>
      </c>
      <c r="I207" s="18">
        <v>115291.92</v>
      </c>
      <c r="J207" s="18"/>
      <c r="K207" s="18"/>
      <c r="L207" s="19">
        <f t="shared" si="0"/>
        <v>413891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4497214.04</v>
      </c>
      <c r="G210" s="41">
        <f t="shared" si="1"/>
        <v>1794255.53</v>
      </c>
      <c r="H210" s="41">
        <f t="shared" si="1"/>
        <v>1063512.4000000001</v>
      </c>
      <c r="I210" s="41">
        <f t="shared" si="1"/>
        <v>453641.57999999996</v>
      </c>
      <c r="J210" s="41">
        <f t="shared" si="1"/>
        <v>142714.4</v>
      </c>
      <c r="K210" s="41">
        <f t="shared" si="1"/>
        <v>13910.28</v>
      </c>
      <c r="L210" s="41">
        <f t="shared" si="1"/>
        <v>7965248.2300000004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1381446.96</v>
      </c>
      <c r="G214" s="18">
        <v>552336.67000000004</v>
      </c>
      <c r="H214" s="18">
        <v>3399.39</v>
      </c>
      <c r="I214" s="18">
        <v>54581.85</v>
      </c>
      <c r="J214" s="18">
        <v>6760.93</v>
      </c>
      <c r="K214" s="18">
        <v>680.99</v>
      </c>
      <c r="L214" s="19">
        <f>SUM(F214:K214)</f>
        <v>1999206.7899999998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392589.97</v>
      </c>
      <c r="G215" s="18">
        <v>119880.06</v>
      </c>
      <c r="H215" s="18">
        <v>176262.83</v>
      </c>
      <c r="I215" s="18">
        <v>2802.6</v>
      </c>
      <c r="J215" s="18"/>
      <c r="K215" s="18">
        <v>38527.11</v>
      </c>
      <c r="L215" s="19">
        <f>SUM(F215:K215)</f>
        <v>730062.57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91835.42</v>
      </c>
      <c r="G217" s="18">
        <v>22240.59</v>
      </c>
      <c r="H217" s="18">
        <v>10849.15</v>
      </c>
      <c r="I217" s="18">
        <v>7137.88</v>
      </c>
      <c r="J217" s="18">
        <v>23584.32</v>
      </c>
      <c r="K217" s="18">
        <v>2412.13</v>
      </c>
      <c r="L217" s="19">
        <f>SUM(F217:K217)</f>
        <v>158059.49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225425.01</v>
      </c>
      <c r="G219" s="18">
        <v>78796.31</v>
      </c>
      <c r="H219" s="18">
        <v>61453.94</v>
      </c>
      <c r="I219" s="18">
        <v>6779.57</v>
      </c>
      <c r="J219" s="18">
        <v>587.53</v>
      </c>
      <c r="K219" s="18">
        <v>290</v>
      </c>
      <c r="L219" s="19">
        <f t="shared" ref="L219:L225" si="2">SUM(F219:K219)</f>
        <v>373332.36000000004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69704.31</v>
      </c>
      <c r="G220" s="18">
        <v>51292.6</v>
      </c>
      <c r="H220" s="18">
        <v>15114.36</v>
      </c>
      <c r="I220" s="18">
        <v>18731.580000000002</v>
      </c>
      <c r="J220" s="18">
        <v>1934.9</v>
      </c>
      <c r="K220" s="18">
        <v>265.23</v>
      </c>
      <c r="L220" s="19">
        <f t="shared" si="2"/>
        <v>157042.98000000004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168864.95</v>
      </c>
      <c r="G221" s="18">
        <v>61793.39</v>
      </c>
      <c r="H221" s="18">
        <v>56826.96</v>
      </c>
      <c r="I221" s="18">
        <v>7526.69</v>
      </c>
      <c r="J221" s="18">
        <v>38299.589999999997</v>
      </c>
      <c r="K221" s="18">
        <v>2246.77</v>
      </c>
      <c r="L221" s="19">
        <f t="shared" si="2"/>
        <v>335558.35000000009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234921.92</v>
      </c>
      <c r="G222" s="18">
        <v>122532.8</v>
      </c>
      <c r="H222" s="18">
        <v>7679.39</v>
      </c>
      <c r="I222" s="18">
        <v>5021.3</v>
      </c>
      <c r="J222" s="18"/>
      <c r="K222" s="18">
        <v>2362.17</v>
      </c>
      <c r="L222" s="19">
        <f t="shared" si="2"/>
        <v>372517.58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49991.57</v>
      </c>
      <c r="G223" s="18">
        <v>20944.57</v>
      </c>
      <c r="H223" s="18"/>
      <c r="I223" s="18"/>
      <c r="J223" s="18"/>
      <c r="K223" s="18"/>
      <c r="L223" s="19">
        <f t="shared" si="2"/>
        <v>70936.14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137820.73000000001</v>
      </c>
      <c r="G224" s="18">
        <v>68634.45</v>
      </c>
      <c r="H224" s="18">
        <v>419889.77</v>
      </c>
      <c r="I224" s="18">
        <v>87930.16</v>
      </c>
      <c r="J224" s="18">
        <v>26297.69</v>
      </c>
      <c r="K224" s="18">
        <v>2.17</v>
      </c>
      <c r="L224" s="19">
        <f t="shared" si="2"/>
        <v>740574.97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182028.64</v>
      </c>
      <c r="I225" s="18">
        <v>62864.42</v>
      </c>
      <c r="J225" s="18"/>
      <c r="K225" s="18"/>
      <c r="L225" s="19">
        <f t="shared" si="2"/>
        <v>244893.06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2752600.84</v>
      </c>
      <c r="G228" s="41">
        <f>SUM(G214:G227)</f>
        <v>1098451.44</v>
      </c>
      <c r="H228" s="41">
        <f>SUM(H214:H227)</f>
        <v>933504.43</v>
      </c>
      <c r="I228" s="41">
        <f>SUM(I214:I227)</f>
        <v>253376.05</v>
      </c>
      <c r="J228" s="41">
        <f>SUM(J214:J227)</f>
        <v>97464.959999999992</v>
      </c>
      <c r="K228" s="41">
        <f t="shared" si="3"/>
        <v>46786.569999999992</v>
      </c>
      <c r="L228" s="41">
        <f t="shared" si="3"/>
        <v>5182184.2899999991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1382905.56</v>
      </c>
      <c r="G232" s="18">
        <v>525252.55000000005</v>
      </c>
      <c r="H232" s="18">
        <v>74239.98</v>
      </c>
      <c r="I232" s="18">
        <v>77615</v>
      </c>
      <c r="J232" s="18">
        <v>16695.91</v>
      </c>
      <c r="K232" s="18">
        <v>1843.13</v>
      </c>
      <c r="L232" s="19">
        <f>SUM(F232:K232)</f>
        <v>2078552.13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484476.47</v>
      </c>
      <c r="G233" s="18">
        <v>167698.44</v>
      </c>
      <c r="H233" s="18">
        <v>737837.38</v>
      </c>
      <c r="I233" s="18">
        <v>7378.32</v>
      </c>
      <c r="J233" s="18">
        <v>1453.16</v>
      </c>
      <c r="K233" s="18">
        <v>8382.07</v>
      </c>
      <c r="L233" s="19">
        <f>SUM(F233:K233)</f>
        <v>1407225.84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197432.83</v>
      </c>
      <c r="G234" s="18">
        <v>89404.47</v>
      </c>
      <c r="H234" s="18">
        <v>93394.69</v>
      </c>
      <c r="I234" s="18">
        <v>16581.72</v>
      </c>
      <c r="J234" s="18">
        <v>394.88</v>
      </c>
      <c r="K234" s="18">
        <v>631</v>
      </c>
      <c r="L234" s="19">
        <f>SUM(F234:K234)</f>
        <v>397839.58999999997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153142.46</v>
      </c>
      <c r="G235" s="18">
        <v>31109.279999999999</v>
      </c>
      <c r="H235" s="18">
        <v>35157.25</v>
      </c>
      <c r="I235" s="18">
        <v>15550.95</v>
      </c>
      <c r="J235" s="18">
        <v>20131.66</v>
      </c>
      <c r="K235" s="18">
        <v>10829.48</v>
      </c>
      <c r="L235" s="19">
        <f>SUM(F235:K235)</f>
        <v>265921.08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254850.16</v>
      </c>
      <c r="G237" s="18">
        <v>123784.79</v>
      </c>
      <c r="H237" s="18">
        <v>60897.37</v>
      </c>
      <c r="I237" s="18">
        <v>6466.16</v>
      </c>
      <c r="J237" s="18">
        <v>9887.5400000000009</v>
      </c>
      <c r="K237" s="18">
        <v>35</v>
      </c>
      <c r="L237" s="19">
        <f t="shared" ref="L237:L243" si="4">SUM(F237:K237)</f>
        <v>455921.01999999996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97938.34</v>
      </c>
      <c r="G238" s="18">
        <v>61290.1</v>
      </c>
      <c r="H238" s="18">
        <v>15239.79</v>
      </c>
      <c r="I238" s="18">
        <v>20025.14</v>
      </c>
      <c r="J238" s="18">
        <v>963.48</v>
      </c>
      <c r="K238" s="18">
        <v>348.34</v>
      </c>
      <c r="L238" s="19">
        <f t="shared" si="4"/>
        <v>195805.19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221779.36</v>
      </c>
      <c r="G239" s="18">
        <v>81156.56</v>
      </c>
      <c r="H239" s="18">
        <v>74633.88</v>
      </c>
      <c r="I239" s="18">
        <v>10146.61</v>
      </c>
      <c r="J239" s="18">
        <v>51244.87</v>
      </c>
      <c r="K239" s="18">
        <v>2950.8</v>
      </c>
      <c r="L239" s="19">
        <f t="shared" si="4"/>
        <v>441912.07999999996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246253.54</v>
      </c>
      <c r="G240" s="18">
        <v>97834.18</v>
      </c>
      <c r="H240" s="18">
        <v>11390.24</v>
      </c>
      <c r="I240" s="18">
        <v>7862.69</v>
      </c>
      <c r="J240" s="18"/>
      <c r="K240" s="18">
        <v>7163.48</v>
      </c>
      <c r="L240" s="19">
        <f t="shared" si="4"/>
        <v>370504.12999999995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65656.600000000006</v>
      </c>
      <c r="G241" s="18">
        <v>27507.62</v>
      </c>
      <c r="H241" s="18"/>
      <c r="I241" s="18"/>
      <c r="J241" s="18"/>
      <c r="K241" s="18"/>
      <c r="L241" s="19">
        <f t="shared" si="4"/>
        <v>93164.22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189035.36</v>
      </c>
      <c r="G242" s="18">
        <v>83141.69</v>
      </c>
      <c r="H242" s="18">
        <v>265664.40000000002</v>
      </c>
      <c r="I242" s="18">
        <v>231152.14</v>
      </c>
      <c r="J242" s="18">
        <v>33423.919999999998</v>
      </c>
      <c r="K242" s="18">
        <v>2.85</v>
      </c>
      <c r="L242" s="19">
        <f t="shared" si="4"/>
        <v>802420.36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283404.02</v>
      </c>
      <c r="I243" s="18">
        <v>82563.199999999997</v>
      </c>
      <c r="J243" s="18"/>
      <c r="K243" s="18"/>
      <c r="L243" s="19">
        <f t="shared" si="4"/>
        <v>365967.22000000003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3293470.68</v>
      </c>
      <c r="G246" s="41">
        <f t="shared" si="5"/>
        <v>1288179.68</v>
      </c>
      <c r="H246" s="41">
        <f t="shared" si="5"/>
        <v>1651859</v>
      </c>
      <c r="I246" s="41">
        <f t="shared" si="5"/>
        <v>475341.93000000005</v>
      </c>
      <c r="J246" s="41">
        <f t="shared" si="5"/>
        <v>134195.41999999998</v>
      </c>
      <c r="K246" s="41">
        <f t="shared" si="5"/>
        <v>32186.149999999998</v>
      </c>
      <c r="L246" s="41">
        <f t="shared" si="5"/>
        <v>6875232.8599999994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255764.25</v>
      </c>
      <c r="I254" s="18"/>
      <c r="J254" s="18"/>
      <c r="K254" s="18"/>
      <c r="L254" s="19">
        <f t="shared" si="6"/>
        <v>255764.25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255764.25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255764.25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10543285.560000001</v>
      </c>
      <c r="G256" s="41">
        <f t="shared" si="8"/>
        <v>4180886.6499999994</v>
      </c>
      <c r="H256" s="41">
        <f t="shared" si="8"/>
        <v>3904640.08</v>
      </c>
      <c r="I256" s="41">
        <f t="shared" si="8"/>
        <v>1182359.56</v>
      </c>
      <c r="J256" s="41">
        <f t="shared" si="8"/>
        <v>374374.77999999997</v>
      </c>
      <c r="K256" s="41">
        <f t="shared" si="8"/>
        <v>92882.999999999985</v>
      </c>
      <c r="L256" s="41">
        <f t="shared" si="8"/>
        <v>20278429.629999999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1608141.43</v>
      </c>
      <c r="L259" s="19">
        <f>SUM(F259:K259)</f>
        <v>1608141.43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324051.15000000002</v>
      </c>
      <c r="L260" s="19">
        <f>SUM(F260:K260)</f>
        <v>324051.15000000002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500000</v>
      </c>
      <c r="L265" s="19">
        <f t="shared" si="9"/>
        <v>500000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2432192.58</v>
      </c>
      <c r="L269" s="41">
        <f t="shared" si="9"/>
        <v>2432192.58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10543285.560000001</v>
      </c>
      <c r="G270" s="42">
        <f t="shared" si="11"/>
        <v>4180886.6499999994</v>
      </c>
      <c r="H270" s="42">
        <f t="shared" si="11"/>
        <v>3904640.08</v>
      </c>
      <c r="I270" s="42">
        <f t="shared" si="11"/>
        <v>1182359.56</v>
      </c>
      <c r="J270" s="42">
        <f t="shared" si="11"/>
        <v>374374.77999999997</v>
      </c>
      <c r="K270" s="42">
        <f t="shared" si="11"/>
        <v>2525075.58</v>
      </c>
      <c r="L270" s="42">
        <f t="shared" si="11"/>
        <v>22710622.210000001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149849.29</v>
      </c>
      <c r="G275" s="18">
        <v>54912.15</v>
      </c>
      <c r="H275" s="18">
        <v>65290.19</v>
      </c>
      <c r="I275" s="18">
        <v>344.01</v>
      </c>
      <c r="J275" s="18">
        <v>10443.120000000001</v>
      </c>
      <c r="K275" s="18"/>
      <c r="L275" s="19">
        <f>SUM(F275:K275)</f>
        <v>280838.76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122044.79</v>
      </c>
      <c r="G276" s="18">
        <v>292.45</v>
      </c>
      <c r="H276" s="18">
        <v>35143.85</v>
      </c>
      <c r="I276" s="18">
        <v>3564.46</v>
      </c>
      <c r="J276" s="18">
        <v>15053.14</v>
      </c>
      <c r="K276" s="18"/>
      <c r="L276" s="19">
        <f>SUM(F276:K276)</f>
        <v>176098.69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49353.06</v>
      </c>
      <c r="G280" s="18"/>
      <c r="H280" s="18"/>
      <c r="I280" s="18"/>
      <c r="J280" s="18"/>
      <c r="K280" s="18"/>
      <c r="L280" s="19">
        <f t="shared" ref="L280:L286" si="12">SUM(F280:K280)</f>
        <v>49353.06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30605.77</v>
      </c>
      <c r="G281" s="18">
        <v>5032.1000000000004</v>
      </c>
      <c r="H281" s="18">
        <v>28805.78</v>
      </c>
      <c r="I281" s="18">
        <v>4384.82</v>
      </c>
      <c r="J281" s="18"/>
      <c r="K281" s="18"/>
      <c r="L281" s="19">
        <f t="shared" si="12"/>
        <v>68828.47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4450.45</v>
      </c>
      <c r="I282" s="18">
        <v>11753.4</v>
      </c>
      <c r="J282" s="18"/>
      <c r="K282" s="18"/>
      <c r="L282" s="19">
        <f t="shared" si="12"/>
        <v>16203.849999999999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>
        <v>596.91</v>
      </c>
      <c r="L283" s="19">
        <f t="shared" si="12"/>
        <v>596.91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1068.6400000000001</v>
      </c>
      <c r="I285" s="18"/>
      <c r="J285" s="18">
        <v>633.54999999999995</v>
      </c>
      <c r="K285" s="18"/>
      <c r="L285" s="19">
        <f t="shared" si="12"/>
        <v>1702.19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351852.91000000003</v>
      </c>
      <c r="G289" s="42">
        <f t="shared" si="13"/>
        <v>60236.7</v>
      </c>
      <c r="H289" s="42">
        <f t="shared" si="13"/>
        <v>134758.91000000003</v>
      </c>
      <c r="I289" s="42">
        <f t="shared" si="13"/>
        <v>20046.690000000002</v>
      </c>
      <c r="J289" s="42">
        <f t="shared" si="13"/>
        <v>26129.81</v>
      </c>
      <c r="K289" s="42">
        <f t="shared" si="13"/>
        <v>596.91</v>
      </c>
      <c r="L289" s="41">
        <f t="shared" si="13"/>
        <v>593621.92999999993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55313.65</v>
      </c>
      <c r="G294" s="18">
        <v>20071.52</v>
      </c>
      <c r="H294" s="18">
        <v>24805.14</v>
      </c>
      <c r="I294" s="18">
        <v>7.25</v>
      </c>
      <c r="J294" s="18">
        <v>5693.89</v>
      </c>
      <c r="K294" s="18"/>
      <c r="L294" s="19">
        <f>SUM(F294:K294)</f>
        <v>105891.45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2951.37</v>
      </c>
      <c r="G295" s="18">
        <v>108.16</v>
      </c>
      <c r="H295" s="18">
        <v>19161.419999999998</v>
      </c>
      <c r="I295" s="18">
        <v>1318.36</v>
      </c>
      <c r="J295" s="18">
        <v>8207.4</v>
      </c>
      <c r="K295" s="18"/>
      <c r="L295" s="19">
        <f>SUM(F295:K295)</f>
        <v>31746.71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1500</v>
      </c>
      <c r="G297" s="18">
        <v>114.76</v>
      </c>
      <c r="H297" s="18"/>
      <c r="I297" s="18"/>
      <c r="J297" s="18"/>
      <c r="K297" s="18"/>
      <c r="L297" s="19">
        <f>SUM(F297:K297)</f>
        <v>1614.76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26908.69</v>
      </c>
      <c r="G299" s="18"/>
      <c r="H299" s="18"/>
      <c r="I299" s="18"/>
      <c r="J299" s="18"/>
      <c r="K299" s="18"/>
      <c r="L299" s="19">
        <f t="shared" ref="L299:L305" si="14">SUM(F299:K299)</f>
        <v>26908.69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22612.13</v>
      </c>
      <c r="G300" s="18">
        <v>3864.02</v>
      </c>
      <c r="H300" s="18">
        <v>19836.25</v>
      </c>
      <c r="I300" s="18">
        <v>4776.0200000000004</v>
      </c>
      <c r="J300" s="18"/>
      <c r="K300" s="18"/>
      <c r="L300" s="19">
        <f t="shared" si="14"/>
        <v>51088.42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v>2426.5100000000002</v>
      </c>
      <c r="I301" s="18">
        <v>433.98</v>
      </c>
      <c r="J301" s="18"/>
      <c r="K301" s="18"/>
      <c r="L301" s="19">
        <f t="shared" si="14"/>
        <v>2860.4900000000002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>
        <v>582.65</v>
      </c>
      <c r="I304" s="18"/>
      <c r="J304" s="18">
        <v>345.43</v>
      </c>
      <c r="K304" s="18"/>
      <c r="L304" s="19">
        <f t="shared" si="14"/>
        <v>928.07999999999993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109285.84000000001</v>
      </c>
      <c r="G308" s="42">
        <f t="shared" si="15"/>
        <v>24158.46</v>
      </c>
      <c r="H308" s="42">
        <f t="shared" si="15"/>
        <v>66811.969999999987</v>
      </c>
      <c r="I308" s="42">
        <f t="shared" si="15"/>
        <v>6535.6100000000006</v>
      </c>
      <c r="J308" s="42">
        <f t="shared" si="15"/>
        <v>14246.720000000001</v>
      </c>
      <c r="K308" s="42">
        <f t="shared" si="15"/>
        <v>0</v>
      </c>
      <c r="L308" s="41">
        <f t="shared" si="15"/>
        <v>221038.6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v>2682.06</v>
      </c>
      <c r="I313" s="18"/>
      <c r="J313" s="18">
        <v>7479.28</v>
      </c>
      <c r="K313" s="18"/>
      <c r="L313" s="19">
        <f>SUM(F313:K313)</f>
        <v>10161.34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51939.43</v>
      </c>
      <c r="G314" s="18"/>
      <c r="H314" s="18">
        <v>25169.73</v>
      </c>
      <c r="I314" s="18"/>
      <c r="J314" s="18">
        <v>10780.93</v>
      </c>
      <c r="K314" s="18"/>
      <c r="L314" s="19">
        <f>SUM(F314:K314)</f>
        <v>87890.09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9341.75</v>
      </c>
      <c r="G315" s="18">
        <v>122.4</v>
      </c>
      <c r="H315" s="18">
        <v>20917.18</v>
      </c>
      <c r="I315" s="18">
        <v>1198.8900000000001</v>
      </c>
      <c r="J315" s="18">
        <v>19516.240000000002</v>
      </c>
      <c r="K315" s="18"/>
      <c r="L315" s="19">
        <f>SUM(F315:K315)</f>
        <v>51096.460000000006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35346.25</v>
      </c>
      <c r="G318" s="18"/>
      <c r="H318" s="18">
        <v>1477.97</v>
      </c>
      <c r="I318" s="18"/>
      <c r="J318" s="18"/>
      <c r="K318" s="18"/>
      <c r="L318" s="19">
        <f t="shared" ref="L318:L324" si="16">SUM(F318:K318)</f>
        <v>36824.22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21919.599999999999</v>
      </c>
      <c r="G319" s="18">
        <v>3603.95</v>
      </c>
      <c r="H319" s="18">
        <v>15678.65</v>
      </c>
      <c r="I319" s="18">
        <v>3027.94</v>
      </c>
      <c r="J319" s="18"/>
      <c r="K319" s="18"/>
      <c r="L319" s="19">
        <f t="shared" si="16"/>
        <v>44230.14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v>3187.38</v>
      </c>
      <c r="I320" s="18">
        <v>570.05999999999995</v>
      </c>
      <c r="J320" s="18"/>
      <c r="K320" s="18"/>
      <c r="L320" s="19">
        <f t="shared" si="16"/>
        <v>3757.44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>
        <v>765.35</v>
      </c>
      <c r="I323" s="18"/>
      <c r="J323" s="18">
        <v>453.75</v>
      </c>
      <c r="K323" s="18"/>
      <c r="L323" s="19">
        <f t="shared" si="16"/>
        <v>1219.0999999999999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118547.03</v>
      </c>
      <c r="G327" s="42">
        <f t="shared" si="17"/>
        <v>3726.35</v>
      </c>
      <c r="H327" s="42">
        <f t="shared" si="17"/>
        <v>69878.320000000007</v>
      </c>
      <c r="I327" s="42">
        <f t="shared" si="17"/>
        <v>4796.8899999999994</v>
      </c>
      <c r="J327" s="42">
        <f t="shared" si="17"/>
        <v>38230.199999999997</v>
      </c>
      <c r="K327" s="42">
        <f t="shared" si="17"/>
        <v>0</v>
      </c>
      <c r="L327" s="41">
        <f t="shared" si="17"/>
        <v>235178.79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579685.78</v>
      </c>
      <c r="G337" s="41">
        <f t="shared" si="20"/>
        <v>88121.510000000009</v>
      </c>
      <c r="H337" s="41">
        <f t="shared" si="20"/>
        <v>271449.2</v>
      </c>
      <c r="I337" s="41">
        <f t="shared" si="20"/>
        <v>31379.190000000002</v>
      </c>
      <c r="J337" s="41">
        <f t="shared" si="20"/>
        <v>78606.73</v>
      </c>
      <c r="K337" s="41">
        <f t="shared" si="20"/>
        <v>596.91</v>
      </c>
      <c r="L337" s="41">
        <f t="shared" si="20"/>
        <v>1049839.3199999998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13497.6</v>
      </c>
      <c r="L343" s="19">
        <f t="shared" ref="L343:L349" si="21">SUM(F343:K343)</f>
        <v>13497.6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13497.6</v>
      </c>
      <c r="L350" s="41">
        <f>SUM(L340:L349)</f>
        <v>13497.6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579685.78</v>
      </c>
      <c r="G351" s="41">
        <f>G337</f>
        <v>88121.510000000009</v>
      </c>
      <c r="H351" s="41">
        <f>H337</f>
        <v>271449.2</v>
      </c>
      <c r="I351" s="41">
        <f>I337</f>
        <v>31379.190000000002</v>
      </c>
      <c r="J351" s="41">
        <f>J337</f>
        <v>78606.73</v>
      </c>
      <c r="K351" s="47">
        <f>K337+K350</f>
        <v>14094.51</v>
      </c>
      <c r="L351" s="41">
        <f>L337+L350</f>
        <v>1063336.92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100663.26</v>
      </c>
      <c r="G357" s="18">
        <v>14352.69</v>
      </c>
      <c r="H357" s="18">
        <v>2053.3000000000002</v>
      </c>
      <c r="I357" s="18">
        <v>163437.15</v>
      </c>
      <c r="J357" s="18">
        <v>7588.82</v>
      </c>
      <c r="K357" s="18">
        <v>224.99</v>
      </c>
      <c r="L357" s="13">
        <f>SUM(F357:K357)</f>
        <v>288320.21000000002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55685.69</v>
      </c>
      <c r="G358" s="18">
        <v>8385.94</v>
      </c>
      <c r="H358" s="18">
        <v>1277.54</v>
      </c>
      <c r="I358" s="18">
        <v>83216.63</v>
      </c>
      <c r="J358" s="18">
        <v>4817.24</v>
      </c>
      <c r="K358" s="18">
        <v>142.82</v>
      </c>
      <c r="L358" s="19">
        <f>SUM(F358:K358)</f>
        <v>153525.86000000002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88477.5</v>
      </c>
      <c r="G359" s="18">
        <v>11536.34</v>
      </c>
      <c r="H359" s="18">
        <v>1521.86</v>
      </c>
      <c r="I359" s="18">
        <v>99300.62</v>
      </c>
      <c r="J359" s="18">
        <v>5738.51</v>
      </c>
      <c r="K359" s="18">
        <v>170.14</v>
      </c>
      <c r="L359" s="19">
        <f>SUM(F359:K359)</f>
        <v>206744.97000000003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244826.45</v>
      </c>
      <c r="G361" s="47">
        <f t="shared" si="22"/>
        <v>34274.97</v>
      </c>
      <c r="H361" s="47">
        <f t="shared" si="22"/>
        <v>4852.7</v>
      </c>
      <c r="I361" s="47">
        <f t="shared" si="22"/>
        <v>345954.4</v>
      </c>
      <c r="J361" s="47">
        <f t="shared" si="22"/>
        <v>18144.57</v>
      </c>
      <c r="K361" s="47">
        <f t="shared" si="22"/>
        <v>537.95000000000005</v>
      </c>
      <c r="L361" s="47">
        <f t="shared" si="22"/>
        <v>648591.04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155591.35999999999</v>
      </c>
      <c r="G366" s="18">
        <v>78595.179999999993</v>
      </c>
      <c r="H366" s="18">
        <v>93795.34</v>
      </c>
      <c r="I366" s="56">
        <f>SUM(F366:H366)</f>
        <v>327981.88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7845.79</v>
      </c>
      <c r="G367" s="63">
        <v>4621.45</v>
      </c>
      <c r="H367" s="63">
        <v>5505.28</v>
      </c>
      <c r="I367" s="56">
        <f>SUM(F367:H367)</f>
        <v>17972.52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163437.15</v>
      </c>
      <c r="G368" s="47">
        <f>SUM(G366:G367)</f>
        <v>83216.62999999999</v>
      </c>
      <c r="H368" s="47">
        <f>SUM(H366:H367)</f>
        <v>99300.62</v>
      </c>
      <c r="I368" s="47">
        <f>SUM(I366:I367)</f>
        <v>345954.4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450000</v>
      </c>
      <c r="H388" s="18">
        <v>3297.11</v>
      </c>
      <c r="I388" s="18"/>
      <c r="J388" s="24" t="s">
        <v>289</v>
      </c>
      <c r="K388" s="24" t="s">
        <v>289</v>
      </c>
      <c r="L388" s="56">
        <f t="shared" si="25"/>
        <v>453297.11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76.87</v>
      </c>
      <c r="I391" s="18"/>
      <c r="J391" s="24" t="s">
        <v>289</v>
      </c>
      <c r="K391" s="24" t="s">
        <v>289</v>
      </c>
      <c r="L391" s="56">
        <f t="shared" si="25"/>
        <v>76.87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450000</v>
      </c>
      <c r="H392" s="139">
        <f>SUM(H386:H391)</f>
        <v>3373.98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453373.98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304.93</v>
      </c>
      <c r="I395" s="18"/>
      <c r="J395" s="24" t="s">
        <v>289</v>
      </c>
      <c r="K395" s="24" t="s">
        <v>289</v>
      </c>
      <c r="L395" s="56">
        <f t="shared" si="26"/>
        <v>304.93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262.44</v>
      </c>
      <c r="I396" s="18"/>
      <c r="J396" s="24" t="s">
        <v>289</v>
      </c>
      <c r="K396" s="24" t="s">
        <v>289</v>
      </c>
      <c r="L396" s="56">
        <f t="shared" si="26"/>
        <v>50262.44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567.37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50567.37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500000</v>
      </c>
      <c r="H407" s="47">
        <f>H392+H400+H406</f>
        <v>3941.35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503941.35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141827.41</v>
      </c>
      <c r="L414" s="56">
        <f t="shared" si="27"/>
        <v>141827.41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141827.41</v>
      </c>
      <c r="L418" s="47">
        <f t="shared" si="28"/>
        <v>141827.41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141827.41</v>
      </c>
      <c r="L433" s="47">
        <f t="shared" si="32"/>
        <v>141827.41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1109051.6000000001</v>
      </c>
      <c r="H438" s="18"/>
      <c r="I438" s="56">
        <f t="shared" ref="I438:I444" si="33">SUM(F438:H438)</f>
        <v>1109051.6000000001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1109051.6000000001</v>
      </c>
      <c r="H445" s="13">
        <f>SUM(H438:H444)</f>
        <v>0</v>
      </c>
      <c r="I445" s="13">
        <f>SUM(I438:I444)</f>
        <v>1109051.6000000001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>
        <v>48019.61</v>
      </c>
      <c r="H449" s="18"/>
      <c r="I449" s="56">
        <f>SUM(F449:H449)</f>
        <v>48019.61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48019.61</v>
      </c>
      <c r="H451" s="72">
        <f>SUM(H447:H450)</f>
        <v>0</v>
      </c>
      <c r="I451" s="72">
        <f>SUM(I447:I450)</f>
        <v>48019.61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1061031.99</v>
      </c>
      <c r="H458" s="18"/>
      <c r="I458" s="56">
        <f t="shared" si="34"/>
        <v>1061031.99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1061031.99</v>
      </c>
      <c r="H459" s="83">
        <f>SUM(H453:H458)</f>
        <v>0</v>
      </c>
      <c r="I459" s="83">
        <f>SUM(I453:I458)</f>
        <v>1061031.99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1109051.6000000001</v>
      </c>
      <c r="H460" s="42">
        <f>H451+H459</f>
        <v>0</v>
      </c>
      <c r="I460" s="42">
        <f>I451+I459</f>
        <v>1109051.6000000001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1319955.6000000001</v>
      </c>
      <c r="G464" s="18">
        <v>145398.5</v>
      </c>
      <c r="H464" s="18">
        <v>25875.86</v>
      </c>
      <c r="I464" s="18">
        <v>39554.089999999997</v>
      </c>
      <c r="J464" s="18">
        <v>698918.05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22568853.739999998</v>
      </c>
      <c r="G467" s="18">
        <v>660717.62</v>
      </c>
      <c r="H467" s="18">
        <v>1039651.96</v>
      </c>
      <c r="I467" s="18"/>
      <c r="J467" s="18">
        <v>503941.35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22568853.739999998</v>
      </c>
      <c r="G469" s="53">
        <f>SUM(G467:G468)</f>
        <v>660717.62</v>
      </c>
      <c r="H469" s="53">
        <f>SUM(H467:H468)</f>
        <v>1039651.96</v>
      </c>
      <c r="I469" s="53">
        <f>SUM(I467:I468)</f>
        <v>0</v>
      </c>
      <c r="J469" s="53">
        <f>SUM(J467:J468)</f>
        <v>503941.35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22710622.210000001</v>
      </c>
      <c r="G471" s="18">
        <v>648591.04</v>
      </c>
      <c r="H471" s="18">
        <v>1063336.92</v>
      </c>
      <c r="I471" s="18"/>
      <c r="J471" s="18">
        <v>141827.41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22710622.210000001</v>
      </c>
      <c r="G473" s="53">
        <f>SUM(G471:G472)</f>
        <v>648591.04</v>
      </c>
      <c r="H473" s="53">
        <f>SUM(H471:H472)</f>
        <v>1063336.92</v>
      </c>
      <c r="I473" s="53">
        <f>SUM(I471:I472)</f>
        <v>0</v>
      </c>
      <c r="J473" s="53">
        <f>SUM(J471:J472)</f>
        <v>141827.41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1178187.129999999</v>
      </c>
      <c r="G475" s="53">
        <f>(G464+G469)- G473</f>
        <v>157525.07999999996</v>
      </c>
      <c r="H475" s="53">
        <f>(H464+H469)- H473</f>
        <v>2190.9000000001397</v>
      </c>
      <c r="I475" s="53">
        <f>(I464+I469)- I473</f>
        <v>39554.089999999997</v>
      </c>
      <c r="J475" s="53">
        <f>(J464+J469)- J473</f>
        <v>1061031.99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13</v>
      </c>
      <c r="G489" s="154">
        <v>10</v>
      </c>
      <c r="H489" s="154">
        <v>15</v>
      </c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>
        <f>11/9</f>
        <v>1.2222222222222223</v>
      </c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>
        <f>12/24</f>
        <v>0.5</v>
      </c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7005000</v>
      </c>
      <c r="G492" s="18">
        <v>8625000</v>
      </c>
      <c r="H492" s="18">
        <v>3396240</v>
      </c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3.2</v>
      </c>
      <c r="G493" s="18">
        <v>3.19</v>
      </c>
      <c r="H493" s="18">
        <v>1.4</v>
      </c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1345000</v>
      </c>
      <c r="G494" s="18">
        <v>8530000</v>
      </c>
      <c r="H494" s="18">
        <v>2952760.68</v>
      </c>
      <c r="I494" s="18"/>
      <c r="J494" s="18"/>
      <c r="K494" s="53">
        <f>SUM(F494:J494)</f>
        <v>12827760.68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460000</v>
      </c>
      <c r="G496" s="18">
        <v>925000</v>
      </c>
      <c r="H496" s="18">
        <v>223141.43</v>
      </c>
      <c r="I496" s="18"/>
      <c r="J496" s="18"/>
      <c r="K496" s="53">
        <f t="shared" si="35"/>
        <v>1608141.43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885000</v>
      </c>
      <c r="G497" s="204">
        <v>7605000</v>
      </c>
      <c r="H497" s="204">
        <v>2729619.25</v>
      </c>
      <c r="I497" s="204"/>
      <c r="J497" s="204"/>
      <c r="K497" s="205">
        <f t="shared" si="35"/>
        <v>11219619.25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52236.75</v>
      </c>
      <c r="G498" s="18">
        <v>1122137.58</v>
      </c>
      <c r="H498" s="18">
        <v>250482.76</v>
      </c>
      <c r="I498" s="18"/>
      <c r="J498" s="18"/>
      <c r="K498" s="53">
        <f t="shared" si="35"/>
        <v>1424857.09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937236.75</v>
      </c>
      <c r="G499" s="42">
        <f>SUM(G497:G498)</f>
        <v>8727137.5800000001</v>
      </c>
      <c r="H499" s="42">
        <f>SUM(H497:H498)</f>
        <v>2980102.01</v>
      </c>
      <c r="I499" s="42">
        <f>SUM(I497:I498)</f>
        <v>0</v>
      </c>
      <c r="J499" s="42">
        <f>SUM(J497:J498)</f>
        <v>0</v>
      </c>
      <c r="K499" s="42">
        <f t="shared" si="35"/>
        <v>12644476.34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450000</v>
      </c>
      <c r="G500" s="204">
        <v>910000</v>
      </c>
      <c r="H500" s="204">
        <v>221847.17</v>
      </c>
      <c r="I500" s="204"/>
      <c r="J500" s="204"/>
      <c r="K500" s="205">
        <f t="shared" si="35"/>
        <v>1581847.17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34836.75</v>
      </c>
      <c r="G501" s="18">
        <v>212275</v>
      </c>
      <c r="H501" s="18">
        <v>38214.67</v>
      </c>
      <c r="I501" s="18"/>
      <c r="J501" s="18"/>
      <c r="K501" s="53">
        <f t="shared" si="35"/>
        <v>285326.42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484836.75</v>
      </c>
      <c r="G502" s="42">
        <f>SUM(G500:G501)</f>
        <v>1122275</v>
      </c>
      <c r="H502" s="42">
        <f>SUM(H500:H501)</f>
        <v>260061.84000000003</v>
      </c>
      <c r="I502" s="42">
        <f>SUM(I500:I501)</f>
        <v>0</v>
      </c>
      <c r="J502" s="42">
        <f>SUM(J500:J501)</f>
        <v>0</v>
      </c>
      <c r="K502" s="42">
        <f t="shared" si="35"/>
        <v>1867173.59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902693.61</v>
      </c>
      <c r="G520" s="18">
        <v>284729.27</v>
      </c>
      <c r="H520" s="18">
        <v>298313.13</v>
      </c>
      <c r="I520" s="18">
        <v>9300.2199999999993</v>
      </c>
      <c r="J520" s="18">
        <v>15621.1</v>
      </c>
      <c r="K520" s="18">
        <v>6326.85</v>
      </c>
      <c r="L520" s="88">
        <f>SUM(F520:K520)</f>
        <v>1516984.18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395541.34</v>
      </c>
      <c r="G521" s="18">
        <v>119988.22</v>
      </c>
      <c r="H521" s="18">
        <v>195424.25</v>
      </c>
      <c r="I521" s="18">
        <v>4120.96</v>
      </c>
      <c r="J521" s="18">
        <v>8207.4</v>
      </c>
      <c r="K521" s="18">
        <v>38527.11</v>
      </c>
      <c r="L521" s="88">
        <f>SUM(F521:K521)</f>
        <v>761809.28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536415.9</v>
      </c>
      <c r="G522" s="18">
        <v>167698.44</v>
      </c>
      <c r="H522" s="18">
        <v>763007.11</v>
      </c>
      <c r="I522" s="18">
        <v>7378.32</v>
      </c>
      <c r="J522" s="18">
        <v>12234.09</v>
      </c>
      <c r="K522" s="18">
        <v>8382.07</v>
      </c>
      <c r="L522" s="88">
        <f>SUM(F522:K522)</f>
        <v>1495115.9300000004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1834650.85</v>
      </c>
      <c r="G523" s="108">
        <f t="shared" ref="G523:L523" si="36">SUM(G520:G522)</f>
        <v>572415.92999999993</v>
      </c>
      <c r="H523" s="108">
        <f t="shared" si="36"/>
        <v>1256744.49</v>
      </c>
      <c r="I523" s="108">
        <f t="shared" si="36"/>
        <v>20799.5</v>
      </c>
      <c r="J523" s="108">
        <f t="shared" si="36"/>
        <v>36062.589999999997</v>
      </c>
      <c r="K523" s="108">
        <f t="shared" si="36"/>
        <v>53236.03</v>
      </c>
      <c r="L523" s="89">
        <f t="shared" si="36"/>
        <v>3773909.3900000006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155523.21</v>
      </c>
      <c r="G525" s="18">
        <v>42252.15</v>
      </c>
      <c r="H525" s="18">
        <v>32036.04</v>
      </c>
      <c r="I525" s="18">
        <v>3902.43</v>
      </c>
      <c r="J525" s="18">
        <v>1072.83</v>
      </c>
      <c r="K525" s="18"/>
      <c r="L525" s="88">
        <f>SUM(F525:K525)</f>
        <v>234786.65999999997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90227.02</v>
      </c>
      <c r="G526" s="18">
        <v>24512.639999999999</v>
      </c>
      <c r="H526" s="18">
        <v>18585.759999999998</v>
      </c>
      <c r="I526" s="18">
        <v>2264</v>
      </c>
      <c r="J526" s="18">
        <v>622.4</v>
      </c>
      <c r="K526" s="18"/>
      <c r="L526" s="88">
        <f>SUM(F526:K526)</f>
        <v>136211.82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107484.46</v>
      </c>
      <c r="G527" s="18">
        <v>29200.560000000001</v>
      </c>
      <c r="H527" s="18">
        <v>22140.19</v>
      </c>
      <c r="I527" s="18">
        <v>2696.98</v>
      </c>
      <c r="J527" s="18">
        <v>741.44</v>
      </c>
      <c r="K527" s="18"/>
      <c r="L527" s="88">
        <f>SUM(F527:K527)</f>
        <v>162263.63000000003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353234.69</v>
      </c>
      <c r="G528" s="89">
        <f t="shared" ref="G528:L528" si="37">SUM(G525:G527)</f>
        <v>95965.35</v>
      </c>
      <c r="H528" s="89">
        <f t="shared" si="37"/>
        <v>72761.990000000005</v>
      </c>
      <c r="I528" s="89">
        <f t="shared" si="37"/>
        <v>8863.41</v>
      </c>
      <c r="J528" s="89">
        <f t="shared" si="37"/>
        <v>2436.67</v>
      </c>
      <c r="K528" s="89">
        <f t="shared" si="37"/>
        <v>0</v>
      </c>
      <c r="L528" s="89">
        <f t="shared" si="37"/>
        <v>533262.11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75054.899999999994</v>
      </c>
      <c r="G530" s="18">
        <v>36554.129999999997</v>
      </c>
      <c r="H530" s="18">
        <v>4213.9799999999996</v>
      </c>
      <c r="I530" s="18"/>
      <c r="J530" s="18"/>
      <c r="K530" s="18"/>
      <c r="L530" s="88">
        <f>SUM(F530:K530)</f>
        <v>115823.01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43543.21</v>
      </c>
      <c r="G531" s="18">
        <v>21206.93</v>
      </c>
      <c r="H531" s="18">
        <v>2444.7399999999998</v>
      </c>
      <c r="I531" s="18"/>
      <c r="J531" s="18"/>
      <c r="K531" s="18"/>
      <c r="L531" s="88">
        <f>SUM(F531:K531)</f>
        <v>67194.880000000005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51870.62</v>
      </c>
      <c r="G532" s="18">
        <v>25262.639999999999</v>
      </c>
      <c r="H532" s="18">
        <v>2912.29</v>
      </c>
      <c r="I532" s="18"/>
      <c r="J532" s="18"/>
      <c r="K532" s="18"/>
      <c r="L532" s="88">
        <f>SUM(F532:K532)</f>
        <v>80045.55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170468.72999999998</v>
      </c>
      <c r="G533" s="89">
        <f t="shared" ref="G533:L533" si="38">SUM(G530:G532)</f>
        <v>83023.7</v>
      </c>
      <c r="H533" s="89">
        <f t="shared" si="38"/>
        <v>9571.0099999999984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263063.44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84</v>
      </c>
      <c r="I535" s="18"/>
      <c r="J535" s="18"/>
      <c r="K535" s="18"/>
      <c r="L535" s="88">
        <f>SUM(F535:K535)</f>
        <v>84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84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84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56166.36</v>
      </c>
      <c r="I540" s="18"/>
      <c r="J540" s="18"/>
      <c r="K540" s="18"/>
      <c r="L540" s="88">
        <f>SUM(F540:K540)</f>
        <v>56166.36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32585</v>
      </c>
      <c r="I541" s="18"/>
      <c r="J541" s="18"/>
      <c r="K541" s="18"/>
      <c r="L541" s="88">
        <f>SUM(F541:K541)</f>
        <v>32585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38816.699999999997</v>
      </c>
      <c r="I542" s="18"/>
      <c r="J542" s="18"/>
      <c r="K542" s="18"/>
      <c r="L542" s="88">
        <f>SUM(F542:K542)</f>
        <v>38816.699999999997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127568.06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127568.06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2358354.27</v>
      </c>
      <c r="G544" s="89">
        <f t="shared" ref="G544:L544" si="41">G523+G528+G533+G538+G543</f>
        <v>751404.97999999986</v>
      </c>
      <c r="H544" s="89">
        <f t="shared" si="41"/>
        <v>1466729.55</v>
      </c>
      <c r="I544" s="89">
        <f t="shared" si="41"/>
        <v>29662.91</v>
      </c>
      <c r="J544" s="89">
        <f t="shared" si="41"/>
        <v>38499.259999999995</v>
      </c>
      <c r="K544" s="89">
        <f t="shared" si="41"/>
        <v>53236.03</v>
      </c>
      <c r="L544" s="89">
        <f t="shared" si="41"/>
        <v>4697887.0000000009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1516984.18</v>
      </c>
      <c r="G548" s="87">
        <f>L525</f>
        <v>234786.65999999997</v>
      </c>
      <c r="H548" s="87">
        <f>L530</f>
        <v>115823.01</v>
      </c>
      <c r="I548" s="87">
        <f>L535</f>
        <v>84</v>
      </c>
      <c r="J548" s="87">
        <f>L540</f>
        <v>56166.36</v>
      </c>
      <c r="K548" s="87">
        <f>SUM(F548:J548)</f>
        <v>1923844.21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761809.28</v>
      </c>
      <c r="G549" s="87">
        <f>L526</f>
        <v>136211.82</v>
      </c>
      <c r="H549" s="87">
        <f>L531</f>
        <v>67194.880000000005</v>
      </c>
      <c r="I549" s="87">
        <f>L536</f>
        <v>0</v>
      </c>
      <c r="J549" s="87">
        <f>L541</f>
        <v>32585</v>
      </c>
      <c r="K549" s="87">
        <f>SUM(F549:J549)</f>
        <v>997800.9800000001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1495115.9300000004</v>
      </c>
      <c r="G550" s="87">
        <f>L527</f>
        <v>162263.63000000003</v>
      </c>
      <c r="H550" s="87">
        <f>L532</f>
        <v>80045.55</v>
      </c>
      <c r="I550" s="87">
        <f>L537</f>
        <v>0</v>
      </c>
      <c r="J550" s="87">
        <f>L542</f>
        <v>38816.699999999997</v>
      </c>
      <c r="K550" s="87">
        <f>SUM(F550:J550)</f>
        <v>1776241.8100000005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3773909.3900000006</v>
      </c>
      <c r="G551" s="89">
        <f t="shared" si="42"/>
        <v>533262.11</v>
      </c>
      <c r="H551" s="89">
        <f t="shared" si="42"/>
        <v>263063.44</v>
      </c>
      <c r="I551" s="89">
        <f t="shared" si="42"/>
        <v>84</v>
      </c>
      <c r="J551" s="89">
        <f t="shared" si="42"/>
        <v>127568.06</v>
      </c>
      <c r="K551" s="89">
        <f t="shared" si="42"/>
        <v>4697887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153900.79999999999</v>
      </c>
      <c r="G556" s="18">
        <v>55316.29</v>
      </c>
      <c r="H556" s="18">
        <v>82796.2</v>
      </c>
      <c r="I556" s="18">
        <v>3649.81</v>
      </c>
      <c r="J556" s="18"/>
      <c r="K556" s="18">
        <v>4751.08</v>
      </c>
      <c r="L556" s="88">
        <f>SUM(F556:K556)</f>
        <v>300414.18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62737.15</v>
      </c>
      <c r="G557" s="18">
        <v>21188.36</v>
      </c>
      <c r="H557" s="18">
        <v>38480.44</v>
      </c>
      <c r="I557" s="18">
        <v>3887.75</v>
      </c>
      <c r="J557" s="18"/>
      <c r="K557" s="18">
        <v>1757.25</v>
      </c>
      <c r="L557" s="88">
        <f>SUM(F557:K557)</f>
        <v>128050.95000000001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216637.94999999998</v>
      </c>
      <c r="G559" s="108">
        <f t="shared" si="43"/>
        <v>76504.649999999994</v>
      </c>
      <c r="H559" s="108">
        <f t="shared" si="43"/>
        <v>121276.64</v>
      </c>
      <c r="I559" s="108">
        <f t="shared" si="43"/>
        <v>7537.5599999999995</v>
      </c>
      <c r="J559" s="108">
        <f t="shared" si="43"/>
        <v>0</v>
      </c>
      <c r="K559" s="108">
        <f t="shared" si="43"/>
        <v>6508.33</v>
      </c>
      <c r="L559" s="89">
        <f t="shared" si="43"/>
        <v>428465.13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22293.29</v>
      </c>
      <c r="G561" s="18">
        <v>7757.92</v>
      </c>
      <c r="H561" s="18"/>
      <c r="I561" s="18">
        <v>33.74</v>
      </c>
      <c r="J561" s="18"/>
      <c r="K561" s="18"/>
      <c r="L561" s="88">
        <f>SUM(F561:K561)</f>
        <v>30084.95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12933.49</v>
      </c>
      <c r="G562" s="18">
        <v>4500.7700000000004</v>
      </c>
      <c r="H562" s="18"/>
      <c r="I562" s="18">
        <v>19.57</v>
      </c>
      <c r="J562" s="18"/>
      <c r="K562" s="18"/>
      <c r="L562" s="88">
        <f>SUM(F562:K562)</f>
        <v>17453.830000000002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15406.95</v>
      </c>
      <c r="G563" s="18">
        <v>5361.52</v>
      </c>
      <c r="H563" s="18"/>
      <c r="I563" s="18">
        <v>23.32</v>
      </c>
      <c r="J563" s="18"/>
      <c r="K563" s="18"/>
      <c r="L563" s="88">
        <f>SUM(F563:K563)</f>
        <v>20791.79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50633.729999999996</v>
      </c>
      <c r="G564" s="89">
        <f t="shared" si="44"/>
        <v>17620.21</v>
      </c>
      <c r="H564" s="89">
        <f t="shared" si="44"/>
        <v>0</v>
      </c>
      <c r="I564" s="89">
        <f t="shared" si="44"/>
        <v>76.63</v>
      </c>
      <c r="J564" s="89">
        <f t="shared" si="44"/>
        <v>0</v>
      </c>
      <c r="K564" s="89">
        <f t="shared" si="44"/>
        <v>0</v>
      </c>
      <c r="L564" s="89">
        <f t="shared" si="44"/>
        <v>68330.570000000007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23010.639999999999</v>
      </c>
      <c r="G566" s="18">
        <v>10030.34</v>
      </c>
      <c r="H566" s="18">
        <v>63.25</v>
      </c>
      <c r="I566" s="18"/>
      <c r="J566" s="18"/>
      <c r="K566" s="18"/>
      <c r="L566" s="88">
        <f>SUM(F566:K566)</f>
        <v>33104.229999999996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13349.66</v>
      </c>
      <c r="G567" s="18">
        <v>5819.11</v>
      </c>
      <c r="H567" s="18">
        <v>36.69</v>
      </c>
      <c r="I567" s="18"/>
      <c r="J567" s="18"/>
      <c r="K567" s="18"/>
      <c r="L567" s="88">
        <f>SUM(F567:K567)</f>
        <v>19205.46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15902.71</v>
      </c>
      <c r="G568" s="18">
        <v>6931.99</v>
      </c>
      <c r="H568" s="18">
        <v>43.71</v>
      </c>
      <c r="I568" s="18"/>
      <c r="J568" s="18"/>
      <c r="K568" s="18"/>
      <c r="L568" s="88">
        <f>SUM(F568:K568)</f>
        <v>22878.409999999996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52263.01</v>
      </c>
      <c r="G569" s="193">
        <f t="shared" ref="G569:L569" si="45">SUM(G566:G568)</f>
        <v>22781.440000000002</v>
      </c>
      <c r="H569" s="193">
        <f t="shared" si="45"/>
        <v>143.65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75188.099999999991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319534.69</v>
      </c>
      <c r="G570" s="89">
        <f t="shared" ref="G570:L570" si="46">G559+G564+G569</f>
        <v>116906.29999999999</v>
      </c>
      <c r="H570" s="89">
        <f t="shared" si="46"/>
        <v>121420.29</v>
      </c>
      <c r="I570" s="89">
        <f t="shared" si="46"/>
        <v>7614.19</v>
      </c>
      <c r="J570" s="89">
        <f t="shared" si="46"/>
        <v>0</v>
      </c>
      <c r="K570" s="89">
        <f t="shared" si="46"/>
        <v>6508.33</v>
      </c>
      <c r="L570" s="89">
        <f t="shared" si="46"/>
        <v>571983.80000000005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56799.31</v>
      </c>
      <c r="I574" s="87">
        <f>SUM(F574:H574)</f>
        <v>56799.31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11550</v>
      </c>
      <c r="H578" s="18">
        <v>41910.39</v>
      </c>
      <c r="I578" s="87">
        <f t="shared" si="47"/>
        <v>53460.39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39288.968999999997</v>
      </c>
      <c r="G581" s="18">
        <v>42327.21</v>
      </c>
      <c r="H581" s="18">
        <v>424329.81</v>
      </c>
      <c r="I581" s="87">
        <f t="shared" si="47"/>
        <v>505945.989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120541.25</v>
      </c>
      <c r="I582" s="87">
        <f t="shared" si="47"/>
        <v>120541.25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92549.54</v>
      </c>
      <c r="I583" s="87">
        <f t="shared" si="47"/>
        <v>92549.54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350135.73</v>
      </c>
      <c r="I590" s="18">
        <v>190882.41</v>
      </c>
      <c r="J590" s="18">
        <v>250689.63</v>
      </c>
      <c r="K590" s="104">
        <f t="shared" ref="K590:K596" si="48">SUM(H590:J590)</f>
        <v>791707.77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56410.6</v>
      </c>
      <c r="I591" s="18">
        <v>30756.66</v>
      </c>
      <c r="J591" s="18">
        <v>40400.800000000003</v>
      </c>
      <c r="K591" s="104">
        <f t="shared" si="48"/>
        <v>127568.06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33355.800000000003</v>
      </c>
      <c r="K592" s="104">
        <f t="shared" si="48"/>
        <v>33355.800000000003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17584.27</v>
      </c>
      <c r="J593" s="18">
        <v>34843</v>
      </c>
      <c r="K593" s="104">
        <f t="shared" si="48"/>
        <v>52427.270000000004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7344.67</v>
      </c>
      <c r="I594" s="18">
        <v>5669.72</v>
      </c>
      <c r="J594" s="18">
        <v>6677.99</v>
      </c>
      <c r="K594" s="104">
        <f t="shared" si="48"/>
        <v>19692.379999999997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413890.99999999994</v>
      </c>
      <c r="I597" s="108">
        <f>SUM(I590:I596)</f>
        <v>244893.06</v>
      </c>
      <c r="J597" s="108">
        <f>SUM(J590:J596)</f>
        <v>365967.22</v>
      </c>
      <c r="K597" s="108">
        <f>SUM(K590:K596)</f>
        <v>1024751.2800000001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168844.21</v>
      </c>
      <c r="I603" s="18">
        <v>111711.67999999999</v>
      </c>
      <c r="J603" s="18">
        <v>172425.62</v>
      </c>
      <c r="K603" s="104">
        <f>SUM(H603:J603)</f>
        <v>452981.51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168844.21</v>
      </c>
      <c r="I604" s="108">
        <f>SUM(I601:I603)</f>
        <v>111711.67999999999</v>
      </c>
      <c r="J604" s="108">
        <f>SUM(J601:J603)</f>
        <v>172425.62</v>
      </c>
      <c r="K604" s="108">
        <f>SUM(K601:K603)</f>
        <v>452981.51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16295.86</v>
      </c>
      <c r="G610" s="18">
        <v>2886.29</v>
      </c>
      <c r="H610" s="18"/>
      <c r="I610" s="18"/>
      <c r="J610" s="18"/>
      <c r="K610" s="18"/>
      <c r="L610" s="88">
        <f>SUM(F610:K610)</f>
        <v>19182.150000000001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12954.07</v>
      </c>
      <c r="G611" s="18">
        <v>2214.02</v>
      </c>
      <c r="H611" s="18"/>
      <c r="I611" s="18"/>
      <c r="J611" s="18"/>
      <c r="K611" s="18"/>
      <c r="L611" s="88">
        <f>SUM(F611:K611)</f>
        <v>15168.09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21662.11</v>
      </c>
      <c r="G612" s="18">
        <v>4267.66</v>
      </c>
      <c r="H612" s="18"/>
      <c r="I612" s="18"/>
      <c r="J612" s="18"/>
      <c r="K612" s="18"/>
      <c r="L612" s="88">
        <f>SUM(F612:K612)</f>
        <v>25929.77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50912.04</v>
      </c>
      <c r="G613" s="108">
        <f t="shared" si="49"/>
        <v>9367.9699999999993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60280.010000000009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2312411.7200000002</v>
      </c>
      <c r="H616" s="109">
        <f>SUM(F51)</f>
        <v>2312411.7199999997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170775.28999999998</v>
      </c>
      <c r="H617" s="109">
        <f>SUM(G51)</f>
        <v>170775.28999999998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251407.31</v>
      </c>
      <c r="H618" s="109">
        <f>SUM(H51)</f>
        <v>251407.31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39554.089999999997</v>
      </c>
      <c r="H619" s="109">
        <f>SUM(I51)</f>
        <v>39554.089999999997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1109051.6000000001</v>
      </c>
      <c r="H620" s="109">
        <f>SUM(J51)</f>
        <v>1109051.6000000001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1178187.1299999999</v>
      </c>
      <c r="H621" s="109">
        <f>F475</f>
        <v>1178187.129999999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157525.07999999999</v>
      </c>
      <c r="H622" s="109">
        <f>G475</f>
        <v>157525.07999999996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2190.9</v>
      </c>
      <c r="H623" s="109">
        <f>H475</f>
        <v>2190.9000000001397</v>
      </c>
      <c r="I623" s="121" t="s">
        <v>103</v>
      </c>
      <c r="J623" s="109">
        <f t="shared" si="50"/>
        <v>-1.3960743672214448E-10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39554.089999999997</v>
      </c>
      <c r="H624" s="109">
        <f>I475</f>
        <v>39554.089999999997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1061031.99</v>
      </c>
      <c r="H625" s="109">
        <f>J475</f>
        <v>1061031.99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22568853.740000002</v>
      </c>
      <c r="H626" s="104">
        <f>SUM(F467)</f>
        <v>22568853.739999998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660717.62</v>
      </c>
      <c r="H627" s="104">
        <f>SUM(G467)</f>
        <v>660717.62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1039651.9599999998</v>
      </c>
      <c r="H628" s="104">
        <f>SUM(H467)</f>
        <v>1039651.96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503941.35</v>
      </c>
      <c r="H630" s="104">
        <f>SUM(J467)</f>
        <v>503941.35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22710622.210000001</v>
      </c>
      <c r="H631" s="104">
        <f>SUM(F471)</f>
        <v>22710622.210000001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1063336.92</v>
      </c>
      <c r="H632" s="104">
        <f>SUM(H471)</f>
        <v>1063336.92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345954.4</v>
      </c>
      <c r="H633" s="104">
        <f>I368</f>
        <v>345954.4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648591.04</v>
      </c>
      <c r="H634" s="104">
        <f>SUM(G471)</f>
        <v>648591.04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503941.35</v>
      </c>
      <c r="H636" s="164">
        <f>SUM(J467)</f>
        <v>503941.35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141827.41</v>
      </c>
      <c r="H637" s="164">
        <f>SUM(J471)</f>
        <v>141827.41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1109051.6000000001</v>
      </c>
      <c r="H639" s="104">
        <f>SUM(G460)</f>
        <v>1109051.6000000001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1109051.6000000001</v>
      </c>
      <c r="H641" s="104">
        <f>SUM(I460)</f>
        <v>1109051.6000000001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3941.35</v>
      </c>
      <c r="H643" s="104">
        <f>H407</f>
        <v>3941.35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500000</v>
      </c>
      <c r="H644" s="104">
        <f>G407</f>
        <v>500000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503941.35</v>
      </c>
      <c r="H645" s="104">
        <f>L407</f>
        <v>503941.35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1024751.2800000001</v>
      </c>
      <c r="H646" s="104">
        <f>L207+L225+L243</f>
        <v>1024751.28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452981.51</v>
      </c>
      <c r="H647" s="104">
        <f>(J256+J337)-(J254+J335)</f>
        <v>452981.50999999995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413891</v>
      </c>
      <c r="H648" s="104">
        <f>H597</f>
        <v>413890.99999999994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244893.06</v>
      </c>
      <c r="H649" s="104">
        <f>I597</f>
        <v>244893.06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365967.22000000003</v>
      </c>
      <c r="H650" s="104">
        <f>J597</f>
        <v>365967.22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500000</v>
      </c>
      <c r="H654" s="104">
        <f>K265+K346</f>
        <v>500000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8847190.370000001</v>
      </c>
      <c r="G659" s="19">
        <f>(L228+L308+L358)</f>
        <v>5556748.7499999991</v>
      </c>
      <c r="H659" s="19">
        <f>(L246+L327+L359)</f>
        <v>7317156.6199999992</v>
      </c>
      <c r="I659" s="19">
        <f>SUM(F659:H659)</f>
        <v>21721095.740000002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147548.19432382539</v>
      </c>
      <c r="G660" s="19">
        <f>(L358/IF(SUM(L357:L359)=0,1,SUM(L357:L359))*(SUM(G96:G109)))</f>
        <v>78567.0329007197</v>
      </c>
      <c r="H660" s="19">
        <f>(L359/IF(SUM(L357:L359)=0,1,SUM(L357:L359))*(SUM(G96:G109)))</f>
        <v>105801.97277545494</v>
      </c>
      <c r="I660" s="19">
        <f>SUM(F660:H660)</f>
        <v>331917.2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413891</v>
      </c>
      <c r="G661" s="19">
        <f>(L225+L305)-(J225+J305)</f>
        <v>244893.06</v>
      </c>
      <c r="H661" s="19">
        <f>(L243+L324)-(J243+J324)</f>
        <v>365967.22000000003</v>
      </c>
      <c r="I661" s="19">
        <f>SUM(F661:H661)</f>
        <v>1024751.28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227315.329</v>
      </c>
      <c r="G662" s="199">
        <f>SUM(G574:G586)+SUM(I601:I603)+L611</f>
        <v>180756.97999999998</v>
      </c>
      <c r="H662" s="199">
        <f>SUM(H574:H586)+SUM(J601:J603)+L612</f>
        <v>934485.69000000006</v>
      </c>
      <c r="I662" s="19">
        <f>SUM(F662:H662)</f>
        <v>1342557.9990000001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8058435.8466761755</v>
      </c>
      <c r="G663" s="19">
        <f>G659-SUM(G660:G662)</f>
        <v>5052531.6770992791</v>
      </c>
      <c r="H663" s="19">
        <f>H659-SUM(H660:H662)</f>
        <v>5910901.7372245444</v>
      </c>
      <c r="I663" s="19">
        <f>I659-SUM(I660:I662)</f>
        <v>19021869.261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631.19000000000005</v>
      </c>
      <c r="G664" s="248">
        <v>366.18</v>
      </c>
      <c r="H664" s="248">
        <v>436.25</v>
      </c>
      <c r="I664" s="19">
        <f>SUM(F664:H664)</f>
        <v>1433.6200000000001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12767.05</v>
      </c>
      <c r="G666" s="19">
        <f>ROUND(G663/G664,2)</f>
        <v>13797.95</v>
      </c>
      <c r="H666" s="19">
        <f>ROUND(H663/H664,2)</f>
        <v>13549.34</v>
      </c>
      <c r="I666" s="19">
        <f>ROUND(I663/I664,2)</f>
        <v>13268.42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-4.18</v>
      </c>
      <c r="I669" s="19">
        <f>SUM(F669:H669)</f>
        <v>-4.18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12767.05</v>
      </c>
      <c r="G671" s="19">
        <f>ROUND((G663+G668)/(G664+G669),2)</f>
        <v>13797.95</v>
      </c>
      <c r="H671" s="19">
        <f>ROUND((H663+H668)/(H664+H669),2)</f>
        <v>13680.43</v>
      </c>
      <c r="I671" s="19">
        <f>ROUND((I663+I668)/(I664+I669),2)</f>
        <v>13307.22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="1" gridLinesSet="0"/>
  <pageMargins left="0.3" right="0.3" top="0.75" bottom="0.75" header="0.5" footer="0.5"/>
  <pageSetup scale="70" fitToHeight="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8" workbookViewId="0">
      <selection activeCell="A46" sqref="A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Winnisquam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5187472.2300000004</v>
      </c>
      <c r="C9" s="229">
        <f>'DOE25'!G196+'DOE25'!G214+'DOE25'!G232+'DOE25'!G275+'DOE25'!G294+'DOE25'!G313</f>
        <v>2008987.3</v>
      </c>
    </row>
    <row r="10" spans="1:3" x14ac:dyDescent="0.2">
      <c r="A10" t="s">
        <v>779</v>
      </c>
      <c r="B10" s="240">
        <v>4817286.8099999996</v>
      </c>
      <c r="C10" s="240">
        <v>1896607.02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370185.42</v>
      </c>
      <c r="C12" s="240">
        <v>112380.28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5187472.2299999995</v>
      </c>
      <c r="C13" s="231">
        <f>SUM(C10:C12)</f>
        <v>2008987.3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1834650.85</v>
      </c>
      <c r="C18" s="229">
        <f>'DOE25'!G197+'DOE25'!G215+'DOE25'!G233+'DOE25'!G276+'DOE25'!G295+'DOE25'!G314</f>
        <v>572415.93000000005</v>
      </c>
    </row>
    <row r="19" spans="1:3" x14ac:dyDescent="0.2">
      <c r="A19" t="s">
        <v>779</v>
      </c>
      <c r="B19" s="240">
        <v>1033618.96</v>
      </c>
      <c r="C19" s="240">
        <v>439519.88</v>
      </c>
    </row>
    <row r="20" spans="1:3" x14ac:dyDescent="0.2">
      <c r="A20" t="s">
        <v>780</v>
      </c>
      <c r="B20" s="240">
        <v>729496.43</v>
      </c>
      <c r="C20" s="240">
        <v>123018.7</v>
      </c>
    </row>
    <row r="21" spans="1:3" x14ac:dyDescent="0.2">
      <c r="A21" t="s">
        <v>781</v>
      </c>
      <c r="B21" s="240">
        <v>71535.460000000006</v>
      </c>
      <c r="C21" s="240">
        <v>9877.35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1834650.85</v>
      </c>
      <c r="C22" s="231">
        <f>SUM(C19:C21)</f>
        <v>572415.92999999993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206774.58</v>
      </c>
      <c r="C27" s="234">
        <f>'DOE25'!G198+'DOE25'!G216+'DOE25'!G234+'DOE25'!G277+'DOE25'!G296+'DOE25'!G315</f>
        <v>89526.87</v>
      </c>
    </row>
    <row r="28" spans="1:3" x14ac:dyDescent="0.2">
      <c r="A28" t="s">
        <v>779</v>
      </c>
      <c r="B28" s="240">
        <v>186092.75</v>
      </c>
      <c r="C28" s="240">
        <v>58753.279999999999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20681.830000000002</v>
      </c>
      <c r="C30" s="240">
        <v>30773.59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206774.58000000002</v>
      </c>
      <c r="C31" s="231">
        <f>SUM(C28:C30)</f>
        <v>89526.87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249477.96</v>
      </c>
      <c r="C36" s="235">
        <f>'DOE25'!G199+'DOE25'!G217+'DOE25'!G235+'DOE25'!G278+'DOE25'!G297+'DOE25'!G316</f>
        <v>53982.030000000006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249477.96</v>
      </c>
      <c r="C39" s="240">
        <v>53982.03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249477.96</v>
      </c>
      <c r="C40" s="231">
        <f>SUM(C37:C39)</f>
        <v>53982.03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Winnisquam Regional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11567413.189999999</v>
      </c>
      <c r="D5" s="20">
        <f>SUM('DOE25'!L196:L199)+SUM('DOE25'!L214:L217)+SUM('DOE25'!L232:L235)-F5-G5</f>
        <v>11418540.109999999</v>
      </c>
      <c r="E5" s="243"/>
      <c r="F5" s="255">
        <f>SUM('DOE25'!J196:J199)+SUM('DOE25'!J214:J217)+SUM('DOE25'!J232:J235)</f>
        <v>79240.320000000007</v>
      </c>
      <c r="G5" s="53">
        <f>SUM('DOE25'!K196:K199)+SUM('DOE25'!K214:K217)+SUM('DOE25'!K232:K235)</f>
        <v>69632.759999999995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1400429.8</v>
      </c>
      <c r="D6" s="20">
        <f>'DOE25'!L201+'DOE25'!L219+'DOE25'!L237-F6-G6</f>
        <v>1387841.78</v>
      </c>
      <c r="E6" s="243"/>
      <c r="F6" s="255">
        <f>'DOE25'!J201+'DOE25'!J219+'DOE25'!J237</f>
        <v>12094.02</v>
      </c>
      <c r="G6" s="53">
        <f>'DOE25'!K201+'DOE25'!K219+'DOE25'!K237</f>
        <v>494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534020.62000000011</v>
      </c>
      <c r="D7" s="20">
        <f>'DOE25'!L202+'DOE25'!L220+'DOE25'!L238-F7-G7</f>
        <v>530022.24000000011</v>
      </c>
      <c r="E7" s="243"/>
      <c r="F7" s="255">
        <f>'DOE25'!J202+'DOE25'!J220+'DOE25'!J238</f>
        <v>2898.38</v>
      </c>
      <c r="G7" s="53">
        <f>'DOE25'!K202+'DOE25'!K220+'DOE25'!K238</f>
        <v>1100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992448.64</v>
      </c>
      <c r="D8" s="243"/>
      <c r="E8" s="20">
        <f>'DOE25'!L203+'DOE25'!L221+'DOE25'!L239-F8-G8-D9-D11</f>
        <v>820973.7300000001</v>
      </c>
      <c r="F8" s="255">
        <f>'DOE25'!J203+'DOE25'!J221+'DOE25'!J239</f>
        <v>162156.82</v>
      </c>
      <c r="G8" s="53">
        <f>'DOE25'!K203+'DOE25'!K221+'DOE25'!K239</f>
        <v>9318.09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157697.20000000001</v>
      </c>
      <c r="D9" s="244">
        <v>157697.20000000001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19720.5</v>
      </c>
      <c r="D10" s="243"/>
      <c r="E10" s="244">
        <v>19720.5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245700.09</v>
      </c>
      <c r="D11" s="244">
        <v>245700.09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1283836.28</v>
      </c>
      <c r="D12" s="20">
        <f>'DOE25'!L204+'DOE25'!L222+'DOE25'!L240-F12-G12</f>
        <v>1271507.1300000001</v>
      </c>
      <c r="E12" s="243"/>
      <c r="F12" s="255">
        <f>'DOE25'!J204+'DOE25'!J222+'DOE25'!J240</f>
        <v>0</v>
      </c>
      <c r="G12" s="53">
        <f>'DOE25'!K204+'DOE25'!K222+'DOE25'!K240</f>
        <v>12329.15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294195.64</v>
      </c>
      <c r="D13" s="243"/>
      <c r="E13" s="20">
        <f>'DOE25'!L205+'DOE25'!L223+'DOE25'!L241-F13-G13</f>
        <v>294195.64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2522172.6399999997</v>
      </c>
      <c r="D14" s="20">
        <f>'DOE25'!L206+'DOE25'!L224+'DOE25'!L242-F14-G14</f>
        <v>2404178.3999999994</v>
      </c>
      <c r="E14" s="243"/>
      <c r="F14" s="255">
        <f>'DOE25'!J206+'DOE25'!J224+'DOE25'!J242</f>
        <v>117985.23999999999</v>
      </c>
      <c r="G14" s="53">
        <f>'DOE25'!K206+'DOE25'!K224+'DOE25'!K242</f>
        <v>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1024751.28</v>
      </c>
      <c r="D15" s="20">
        <f>'DOE25'!L207+'DOE25'!L225+'DOE25'!L243-F15-G15</f>
        <v>1024751.28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255764.25</v>
      </c>
      <c r="D22" s="243"/>
      <c r="E22" s="243"/>
      <c r="F22" s="255">
        <f>'DOE25'!L254+'DOE25'!L335</f>
        <v>255764.25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1932192.58</v>
      </c>
      <c r="D25" s="243"/>
      <c r="E25" s="243"/>
      <c r="F25" s="258"/>
      <c r="G25" s="256"/>
      <c r="H25" s="257">
        <f>'DOE25'!L259+'DOE25'!L260+'DOE25'!L340+'DOE25'!L341</f>
        <v>1932192.58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320609.16000000003</v>
      </c>
      <c r="D29" s="20">
        <f>'DOE25'!L357+'DOE25'!L358+'DOE25'!L359-'DOE25'!I366-F29-G29</f>
        <v>301926.64</v>
      </c>
      <c r="E29" s="243"/>
      <c r="F29" s="255">
        <f>'DOE25'!J357+'DOE25'!J358+'DOE25'!J359</f>
        <v>18144.57</v>
      </c>
      <c r="G29" s="53">
        <f>'DOE25'!K357+'DOE25'!K358+'DOE25'!K359</f>
        <v>537.95000000000005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1049839.3199999998</v>
      </c>
      <c r="D31" s="20">
        <f>'DOE25'!L289+'DOE25'!L308+'DOE25'!L327+'DOE25'!L332+'DOE25'!L333+'DOE25'!L334-F31-G31</f>
        <v>970635.67999999982</v>
      </c>
      <c r="E31" s="243"/>
      <c r="F31" s="255">
        <f>'DOE25'!J289+'DOE25'!J308+'DOE25'!J327+'DOE25'!J332+'DOE25'!J333+'DOE25'!J334</f>
        <v>78606.73</v>
      </c>
      <c r="G31" s="53">
        <f>'DOE25'!K289+'DOE25'!K308+'DOE25'!K327+'DOE25'!K332+'DOE25'!K333+'DOE25'!K334</f>
        <v>596.91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19712800.550000001</v>
      </c>
      <c r="E33" s="246">
        <f>SUM(E5:E31)</f>
        <v>1134889.8700000001</v>
      </c>
      <c r="F33" s="246">
        <f>SUM(F5:F31)</f>
        <v>726890.33</v>
      </c>
      <c r="G33" s="246">
        <f>SUM(G5:G31)</f>
        <v>94017.859999999986</v>
      </c>
      <c r="H33" s="246">
        <f>SUM(H5:H31)</f>
        <v>1932192.58</v>
      </c>
    </row>
    <row r="35" spans="2:8" ht="12" thickBot="1" x14ac:dyDescent="0.25">
      <c r="B35" s="253" t="s">
        <v>847</v>
      </c>
      <c r="D35" s="254">
        <f>E33</f>
        <v>1134889.8700000001</v>
      </c>
      <c r="E35" s="249"/>
    </row>
    <row r="36" spans="2:8" ht="12" thickTop="1" x14ac:dyDescent="0.2">
      <c r="B36" t="s">
        <v>815</v>
      </c>
      <c r="D36" s="20">
        <f>D33</f>
        <v>19712800.550000001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  <pageSetUpPr fitToPage="1"/>
  </sheetPr>
  <dimension ref="A1:I163"/>
  <sheetViews>
    <sheetView zoomScale="80" zoomScaleNormal="80" workbookViewId="0">
      <pane ySplit="2" topLeftCell="A18" activePane="bottomLeft" state="frozen"/>
      <selection pane="bottomLeft" activeCell="C28" sqref="C2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1823833.95</v>
      </c>
      <c r="D8" s="95">
        <f>'DOE25'!G9</f>
        <v>555.76</v>
      </c>
      <c r="E8" s="95">
        <f>'DOE25'!H9</f>
        <v>993.74</v>
      </c>
      <c r="F8" s="95">
        <f>'DOE25'!I9</f>
        <v>0</v>
      </c>
      <c r="G8" s="95">
        <f>'DOE25'!J9</f>
        <v>1109051.6000000001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39554.089999999997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370677.69</v>
      </c>
      <c r="D11" s="95">
        <f>'DOE25'!G12</f>
        <v>104864.9</v>
      </c>
      <c r="E11" s="95">
        <f>'DOE25'!H12</f>
        <v>1134.19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62372.58</v>
      </c>
      <c r="E12" s="95">
        <f>'DOE25'!H13</f>
        <v>247180.22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105436.72</v>
      </c>
      <c r="D13" s="95">
        <f>'DOE25'!G14</f>
        <v>2982.05</v>
      </c>
      <c r="E13" s="95">
        <f>'DOE25'!H14</f>
        <v>2099.16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12463.36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2312411.7200000002</v>
      </c>
      <c r="D18" s="41">
        <f>SUM(D8:D17)</f>
        <v>170775.28999999998</v>
      </c>
      <c r="E18" s="41">
        <f>SUM(E8:E17)</f>
        <v>251407.31</v>
      </c>
      <c r="F18" s="41">
        <f>SUM(F8:F17)</f>
        <v>39554.089999999997</v>
      </c>
      <c r="G18" s="41">
        <f>SUM(G8:G17)</f>
        <v>1109051.6000000001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230230.16</v>
      </c>
      <c r="D21" s="95">
        <f>'DOE25'!G22</f>
        <v>0</v>
      </c>
      <c r="E21" s="95">
        <f>'DOE25'!H22</f>
        <v>241768.1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438292.81</v>
      </c>
      <c r="D23" s="95">
        <f>'DOE25'!G24</f>
        <v>1244.94</v>
      </c>
      <c r="E23" s="95">
        <f>'DOE25'!H24</f>
        <v>0</v>
      </c>
      <c r="F23" s="95">
        <f>'DOE25'!I24</f>
        <v>0</v>
      </c>
      <c r="G23" s="95">
        <f>'DOE25'!J24</f>
        <v>48019.61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85036.73</v>
      </c>
      <c r="D27" s="95">
        <f>'DOE25'!G28</f>
        <v>4536.7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380469.81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7468.57</v>
      </c>
      <c r="E29" s="95">
        <f>'DOE25'!H30</f>
        <v>7448.31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195.08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1134224.5900000001</v>
      </c>
      <c r="D31" s="41">
        <f>SUM(D21:D30)</f>
        <v>13250.21</v>
      </c>
      <c r="E31" s="41">
        <f>SUM(E21:E30)</f>
        <v>249216.41</v>
      </c>
      <c r="F31" s="41">
        <f>SUM(F21:F30)</f>
        <v>0</v>
      </c>
      <c r="G31" s="41">
        <f>SUM(G21:G30)</f>
        <v>48019.61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372483.39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157525.07999999999</v>
      </c>
      <c r="E46" s="95">
        <f>'DOE25'!H47</f>
        <v>2190.9</v>
      </c>
      <c r="F46" s="95">
        <f>'DOE25'!I47</f>
        <v>39554.089999999997</v>
      </c>
      <c r="G46" s="95">
        <f>'DOE25'!J47</f>
        <v>1061031.99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330703.74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1178187.1299999999</v>
      </c>
      <c r="D49" s="41">
        <f>SUM(D34:D48)</f>
        <v>157525.07999999999</v>
      </c>
      <c r="E49" s="41">
        <f>SUM(E34:E48)</f>
        <v>2190.9</v>
      </c>
      <c r="F49" s="41">
        <f>SUM(F34:F48)</f>
        <v>39554.089999999997</v>
      </c>
      <c r="G49" s="41">
        <f>SUM(G34:G48)</f>
        <v>1061031.99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2312411.7199999997</v>
      </c>
      <c r="D50" s="41">
        <f>D49+D31</f>
        <v>170775.28999999998</v>
      </c>
      <c r="E50" s="41">
        <f>E49+E31</f>
        <v>251407.31</v>
      </c>
      <c r="F50" s="41">
        <f>F49+F31</f>
        <v>39554.089999999997</v>
      </c>
      <c r="G50" s="41">
        <f>G49+G31</f>
        <v>1109051.6000000001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11479691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132616.15000000002</v>
      </c>
      <c r="D56" s="24" t="s">
        <v>289</v>
      </c>
      <c r="E56" s="95">
        <f>'DOE25'!H78</f>
        <v>1614.76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6020.56</v>
      </c>
      <c r="D58" s="95">
        <f>'DOE25'!G95</f>
        <v>1.64</v>
      </c>
      <c r="E58" s="95">
        <f>'DOE25'!H95</f>
        <v>0.27</v>
      </c>
      <c r="F58" s="95">
        <f>'DOE25'!I95</f>
        <v>0</v>
      </c>
      <c r="G58" s="95">
        <f>'DOE25'!J95</f>
        <v>3941.35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331917.2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203791.24</v>
      </c>
      <c r="D60" s="95">
        <f>SUM('DOE25'!G97:G109)</f>
        <v>0</v>
      </c>
      <c r="E60" s="95">
        <f>SUM('DOE25'!H97:H109)</f>
        <v>6961.3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342427.95</v>
      </c>
      <c r="D61" s="130">
        <f>SUM(D56:D60)</f>
        <v>331918.84000000003</v>
      </c>
      <c r="E61" s="130">
        <f>SUM(E56:E60)</f>
        <v>8576.33</v>
      </c>
      <c r="F61" s="130">
        <f>SUM(F56:F60)</f>
        <v>0</v>
      </c>
      <c r="G61" s="130">
        <f>SUM(G56:G60)</f>
        <v>3941.35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11822118.949999999</v>
      </c>
      <c r="D62" s="22">
        <f>D55+D61</f>
        <v>331918.84000000003</v>
      </c>
      <c r="E62" s="22">
        <f>E55+E61</f>
        <v>8576.33</v>
      </c>
      <c r="F62" s="22">
        <f>F55+F61</f>
        <v>0</v>
      </c>
      <c r="G62" s="22">
        <f>G55+G61</f>
        <v>3941.35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6335661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2915516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1856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9253033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844383.04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205605.73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89651.06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8333.23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1139639.83</v>
      </c>
      <c r="D77" s="130">
        <f>SUM(D71:D76)</f>
        <v>8333.23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10392672.83</v>
      </c>
      <c r="D80" s="130">
        <f>SUM(D78:D79)+D77+D69</f>
        <v>8333.23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201791.03</v>
      </c>
      <c r="D87" s="95">
        <f>SUM('DOE25'!G152:G160)</f>
        <v>320465.55</v>
      </c>
      <c r="E87" s="95">
        <f>SUM('DOE25'!H152:H160)</f>
        <v>1031075.6299999999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201791.03</v>
      </c>
      <c r="D90" s="131">
        <f>SUM(D84:D89)</f>
        <v>320465.55</v>
      </c>
      <c r="E90" s="131">
        <f>SUM(E84:E89)</f>
        <v>1031075.6299999999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500000</v>
      </c>
    </row>
    <row r="96" spans="1:9" x14ac:dyDescent="0.2">
      <c r="A96" t="s">
        <v>758</v>
      </c>
      <c r="B96" s="32" t="s">
        <v>188</v>
      </c>
      <c r="C96" s="95">
        <f>SUM('DOE25'!F179:F180)</f>
        <v>10443.52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141827.41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152270.93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500000</v>
      </c>
    </row>
    <row r="103" spans="1:7" ht="12.75" thickTop="1" thickBot="1" x14ac:dyDescent="0.25">
      <c r="A103" s="33" t="s">
        <v>765</v>
      </c>
      <c r="C103" s="86">
        <f>C62+C80+C90+C102</f>
        <v>22568853.740000002</v>
      </c>
      <c r="D103" s="86">
        <f>D62+D80+D90+D102</f>
        <v>660717.62</v>
      </c>
      <c r="E103" s="86">
        <f>E62+E80+E90+E102</f>
        <v>1039651.9599999998</v>
      </c>
      <c r="F103" s="86">
        <f>F62+F80+F90+F102</f>
        <v>0</v>
      </c>
      <c r="G103" s="86">
        <f>G62+G80+G102</f>
        <v>503941.35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7263901.6499999994</v>
      </c>
      <c r="D108" s="24" t="s">
        <v>289</v>
      </c>
      <c r="E108" s="95">
        <f>('DOE25'!L275)+('DOE25'!L294)+('DOE25'!L313)</f>
        <v>396891.55000000005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3478173.9000000004</v>
      </c>
      <c r="D109" s="24" t="s">
        <v>289</v>
      </c>
      <c r="E109" s="95">
        <f>('DOE25'!L276)+('DOE25'!L295)+('DOE25'!L314)</f>
        <v>295735.49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397839.58999999997</v>
      </c>
      <c r="D110" s="24" t="s">
        <v>289</v>
      </c>
      <c r="E110" s="95">
        <f>('DOE25'!L277)+('DOE25'!L296)+('DOE25'!L315)</f>
        <v>51096.460000000006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427498.05000000005</v>
      </c>
      <c r="D111" s="24" t="s">
        <v>289</v>
      </c>
      <c r="E111" s="95">
        <f>+('DOE25'!L278)+('DOE25'!L297)+('DOE25'!L316)</f>
        <v>1614.76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11567413.190000001</v>
      </c>
      <c r="D114" s="86">
        <f>SUM(D108:D113)</f>
        <v>0</v>
      </c>
      <c r="E114" s="86">
        <f>SUM(E108:E113)</f>
        <v>745338.26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1400429.8</v>
      </c>
      <c r="D117" s="24" t="s">
        <v>289</v>
      </c>
      <c r="E117" s="95">
        <f>+('DOE25'!L280)+('DOE25'!L299)+('DOE25'!L318)</f>
        <v>113085.97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534020.62000000011</v>
      </c>
      <c r="D118" s="24" t="s">
        <v>289</v>
      </c>
      <c r="E118" s="95">
        <f>+('DOE25'!L281)+('DOE25'!L300)+('DOE25'!L319)</f>
        <v>164147.03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1395845.9300000002</v>
      </c>
      <c r="D119" s="24" t="s">
        <v>289</v>
      </c>
      <c r="E119" s="95">
        <f>+('DOE25'!L282)+('DOE25'!L301)+('DOE25'!L320)</f>
        <v>22821.78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1283836.28</v>
      </c>
      <c r="D120" s="24" t="s">
        <v>289</v>
      </c>
      <c r="E120" s="95">
        <f>+('DOE25'!L283)+('DOE25'!L302)+('DOE25'!L321)</f>
        <v>596.91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294195.64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2522172.6399999997</v>
      </c>
      <c r="D122" s="24" t="s">
        <v>289</v>
      </c>
      <c r="E122" s="95">
        <f>+('DOE25'!L285)+('DOE25'!L304)+('DOE25'!L323)</f>
        <v>3849.37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1024751.28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648591.04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8455252.1899999995</v>
      </c>
      <c r="D127" s="86">
        <f>SUM(D117:D126)</f>
        <v>648591.04</v>
      </c>
      <c r="E127" s="86">
        <f>SUM(E117:E126)</f>
        <v>304501.06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255764.25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1608141.43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324051.15000000002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13497.6</v>
      </c>
      <c r="F133" s="95">
        <f>'DOE25'!K380</f>
        <v>0</v>
      </c>
      <c r="G133" s="95">
        <f>'DOE25'!K433</f>
        <v>141827.41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453373.98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50567.37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-3941.3499999999767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2687956.83</v>
      </c>
      <c r="D143" s="141">
        <f>SUM(D129:D142)</f>
        <v>0</v>
      </c>
      <c r="E143" s="141">
        <f>SUM(E129:E142)</f>
        <v>13497.6</v>
      </c>
      <c r="F143" s="141">
        <f>SUM(F129:F142)</f>
        <v>0</v>
      </c>
      <c r="G143" s="141">
        <f>SUM(G129:G142)</f>
        <v>141827.41</v>
      </c>
    </row>
    <row r="144" spans="1:7" ht="12.75" thickTop="1" thickBot="1" x14ac:dyDescent="0.25">
      <c r="A144" s="33" t="s">
        <v>244</v>
      </c>
      <c r="C144" s="86">
        <f>(C114+C127+C143)</f>
        <v>22710622.210000001</v>
      </c>
      <c r="D144" s="86">
        <f>(D114+D127+D143)</f>
        <v>648591.04</v>
      </c>
      <c r="E144" s="86">
        <f>(E114+E127+E143)</f>
        <v>1063336.9200000002</v>
      </c>
      <c r="F144" s="86">
        <f>(F114+F127+F143)</f>
        <v>0</v>
      </c>
      <c r="G144" s="86">
        <f>(G114+G127+G143)</f>
        <v>141827.41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13</v>
      </c>
      <c r="C150" s="153">
        <f>'DOE25'!G489</f>
        <v>10</v>
      </c>
      <c r="D150" s="153">
        <f>'DOE25'!H489</f>
        <v>15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1/03</v>
      </c>
      <c r="C151" s="152" t="str">
        <f>'DOE25'!G490</f>
        <v>3/11</v>
      </c>
      <c r="D151" s="152">
        <f>'DOE25'!H490</f>
        <v>1.2222222222222223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1/15</v>
      </c>
      <c r="C152" s="152" t="str">
        <f>'DOE25'!G491</f>
        <v>8/21</v>
      </c>
      <c r="D152" s="152">
        <f>'DOE25'!H491</f>
        <v>0.5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7005000</v>
      </c>
      <c r="C153" s="137">
        <f>'DOE25'!G492</f>
        <v>8625000</v>
      </c>
      <c r="D153" s="137">
        <f>'DOE25'!H492</f>
        <v>3396240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3.2</v>
      </c>
      <c r="C154" s="137">
        <f>'DOE25'!G493</f>
        <v>3.19</v>
      </c>
      <c r="D154" s="137">
        <f>'DOE25'!H493</f>
        <v>1.4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1345000</v>
      </c>
      <c r="C155" s="137">
        <f>'DOE25'!G494</f>
        <v>8530000</v>
      </c>
      <c r="D155" s="137">
        <f>'DOE25'!H494</f>
        <v>2952760.68</v>
      </c>
      <c r="E155" s="137">
        <f>'DOE25'!I494</f>
        <v>0</v>
      </c>
      <c r="F155" s="137">
        <f>'DOE25'!J494</f>
        <v>0</v>
      </c>
      <c r="G155" s="138">
        <f>SUM(B155:F155)</f>
        <v>12827760.68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460000</v>
      </c>
      <c r="C157" s="137">
        <f>'DOE25'!G496</f>
        <v>925000</v>
      </c>
      <c r="D157" s="137">
        <f>'DOE25'!H496</f>
        <v>223141.43</v>
      </c>
      <c r="E157" s="137">
        <f>'DOE25'!I496</f>
        <v>0</v>
      </c>
      <c r="F157" s="137">
        <f>'DOE25'!J496</f>
        <v>0</v>
      </c>
      <c r="G157" s="138">
        <f t="shared" si="0"/>
        <v>1608141.43</v>
      </c>
    </row>
    <row r="158" spans="1:9" x14ac:dyDescent="0.2">
      <c r="A158" s="22" t="s">
        <v>35</v>
      </c>
      <c r="B158" s="137">
        <f>'DOE25'!F497</f>
        <v>885000</v>
      </c>
      <c r="C158" s="137">
        <f>'DOE25'!G497</f>
        <v>7605000</v>
      </c>
      <c r="D158" s="137">
        <f>'DOE25'!H497</f>
        <v>2729619.25</v>
      </c>
      <c r="E158" s="137">
        <f>'DOE25'!I497</f>
        <v>0</v>
      </c>
      <c r="F158" s="137">
        <f>'DOE25'!J497</f>
        <v>0</v>
      </c>
      <c r="G158" s="138">
        <f t="shared" si="0"/>
        <v>11219619.25</v>
      </c>
    </row>
    <row r="159" spans="1:9" x14ac:dyDescent="0.2">
      <c r="A159" s="22" t="s">
        <v>36</v>
      </c>
      <c r="B159" s="137">
        <f>'DOE25'!F498</f>
        <v>52236.75</v>
      </c>
      <c r="C159" s="137">
        <f>'DOE25'!G498</f>
        <v>1122137.58</v>
      </c>
      <c r="D159" s="137">
        <f>'DOE25'!H498</f>
        <v>250482.76</v>
      </c>
      <c r="E159" s="137">
        <f>'DOE25'!I498</f>
        <v>0</v>
      </c>
      <c r="F159" s="137">
        <f>'DOE25'!J498</f>
        <v>0</v>
      </c>
      <c r="G159" s="138">
        <f t="shared" si="0"/>
        <v>1424857.09</v>
      </c>
    </row>
    <row r="160" spans="1:9" x14ac:dyDescent="0.2">
      <c r="A160" s="22" t="s">
        <v>37</v>
      </c>
      <c r="B160" s="137">
        <f>'DOE25'!F499</f>
        <v>937236.75</v>
      </c>
      <c r="C160" s="137">
        <f>'DOE25'!G499</f>
        <v>8727137.5800000001</v>
      </c>
      <c r="D160" s="137">
        <f>'DOE25'!H499</f>
        <v>2980102.01</v>
      </c>
      <c r="E160" s="137">
        <f>'DOE25'!I499</f>
        <v>0</v>
      </c>
      <c r="F160" s="137">
        <f>'DOE25'!J499</f>
        <v>0</v>
      </c>
      <c r="G160" s="138">
        <f t="shared" si="0"/>
        <v>12644476.34</v>
      </c>
    </row>
    <row r="161" spans="1:7" x14ac:dyDescent="0.2">
      <c r="A161" s="22" t="s">
        <v>38</v>
      </c>
      <c r="B161" s="137">
        <f>'DOE25'!F500</f>
        <v>450000</v>
      </c>
      <c r="C161" s="137">
        <f>'DOE25'!G500</f>
        <v>910000</v>
      </c>
      <c r="D161" s="137">
        <f>'DOE25'!H500</f>
        <v>221847.17</v>
      </c>
      <c r="E161" s="137">
        <f>'DOE25'!I500</f>
        <v>0</v>
      </c>
      <c r="F161" s="137">
        <f>'DOE25'!J500</f>
        <v>0</v>
      </c>
      <c r="G161" s="138">
        <f t="shared" si="0"/>
        <v>1581847.17</v>
      </c>
    </row>
    <row r="162" spans="1:7" x14ac:dyDescent="0.2">
      <c r="A162" s="22" t="s">
        <v>39</v>
      </c>
      <c r="B162" s="137">
        <f>'DOE25'!F501</f>
        <v>34836.75</v>
      </c>
      <c r="C162" s="137">
        <f>'DOE25'!G501</f>
        <v>212275</v>
      </c>
      <c r="D162" s="137">
        <f>'DOE25'!H501</f>
        <v>38214.67</v>
      </c>
      <c r="E162" s="137">
        <f>'DOE25'!I501</f>
        <v>0</v>
      </c>
      <c r="F162" s="137">
        <f>'DOE25'!J501</f>
        <v>0</v>
      </c>
      <c r="G162" s="138">
        <f t="shared" si="0"/>
        <v>285326.42</v>
      </c>
    </row>
    <row r="163" spans="1:7" x14ac:dyDescent="0.2">
      <c r="A163" s="22" t="s">
        <v>246</v>
      </c>
      <c r="B163" s="137">
        <f>'DOE25'!F502</f>
        <v>484836.75</v>
      </c>
      <c r="C163" s="137">
        <f>'DOE25'!G502</f>
        <v>1122275</v>
      </c>
      <c r="D163" s="137">
        <f>'DOE25'!H502</f>
        <v>260061.84000000003</v>
      </c>
      <c r="E163" s="137">
        <f>'DOE25'!I502</f>
        <v>0</v>
      </c>
      <c r="F163" s="137">
        <f>'DOE25'!J502</f>
        <v>0</v>
      </c>
      <c r="G163" s="138">
        <f t="shared" si="0"/>
        <v>1867173.59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2" fitToHeight="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Winnisquam Regional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12767</v>
      </c>
    </row>
    <row r="5" spans="1:4" x14ac:dyDescent="0.2">
      <c r="B5" t="s">
        <v>704</v>
      </c>
      <c r="C5" s="179">
        <f>IF('DOE25'!G664+'DOE25'!G669=0,0,ROUND('DOE25'!G671,0))</f>
        <v>13798</v>
      </c>
    </row>
    <row r="6" spans="1:4" x14ac:dyDescent="0.2">
      <c r="B6" t="s">
        <v>62</v>
      </c>
      <c r="C6" s="179">
        <f>IF('DOE25'!H664+'DOE25'!H669=0,0,ROUND('DOE25'!H671,0))</f>
        <v>13680</v>
      </c>
    </row>
    <row r="7" spans="1:4" x14ac:dyDescent="0.2">
      <c r="B7" t="s">
        <v>705</v>
      </c>
      <c r="C7" s="179">
        <f>IF('DOE25'!I664+'DOE25'!I669=0,0,ROUND('DOE25'!I671,0))</f>
        <v>13307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7660793</v>
      </c>
      <c r="D10" s="182">
        <f>ROUND((C10/$C$28)*100,1)</f>
        <v>35.299999999999997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3773909</v>
      </c>
      <c r="D11" s="182">
        <f>ROUND((C11/$C$28)*100,1)</f>
        <v>17.399999999999999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448936</v>
      </c>
      <c r="D12" s="182">
        <f>ROUND((C12/$C$28)*100,1)</f>
        <v>2.1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429113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1513516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698168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1418668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1284433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294196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2526022</v>
      </c>
      <c r="D20" s="182">
        <f t="shared" si="0"/>
        <v>11.6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1024751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324051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316673.8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21713229.800000001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255764</v>
      </c>
    </row>
    <row r="30" spans="1:4" x14ac:dyDescent="0.2">
      <c r="B30" s="187" t="s">
        <v>729</v>
      </c>
      <c r="C30" s="180">
        <f>SUM(C28:C29)</f>
        <v>21968993.800000001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1608141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11479691</v>
      </c>
      <c r="D35" s="182">
        <f t="shared" ref="D35:D40" si="1">ROUND((C35/$C$41)*100,1)</f>
        <v>48.3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354947.27000000142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9251177</v>
      </c>
      <c r="D37" s="182">
        <f t="shared" si="1"/>
        <v>38.9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1149829</v>
      </c>
      <c r="D38" s="182">
        <f t="shared" si="1"/>
        <v>4.8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1553332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23788976.270000003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>Winnisquam Regional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2013-09-17T14:14:19Z</cp:lastPrinted>
  <dcterms:created xsi:type="dcterms:W3CDTF">1997-12-04T19:04:30Z</dcterms:created>
  <dcterms:modified xsi:type="dcterms:W3CDTF">2013-12-05T19:01:55Z</dcterms:modified>
</cp:coreProperties>
</file>