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D12" i="13" s="1"/>
  <c r="C12" i="13" s="1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D15" i="13" s="1"/>
  <c r="C15" i="13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C119" i="2"/>
  <c r="C120" i="2"/>
  <c r="C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J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F571" i="1" s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8" i="1" s="1"/>
  <c r="G647" i="1" s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0" i="1"/>
  <c r="G641" i="1"/>
  <c r="H641" i="1"/>
  <c r="G643" i="1"/>
  <c r="H643" i="1"/>
  <c r="G644" i="1"/>
  <c r="G645" i="1"/>
  <c r="H645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L256" i="1"/>
  <c r="G164" i="2"/>
  <c r="C26" i="10"/>
  <c r="L328" i="1"/>
  <c r="L351" i="1"/>
  <c r="A31" i="12"/>
  <c r="C70" i="2"/>
  <c r="D18" i="13"/>
  <c r="C18" i="13" s="1"/>
  <c r="D18" i="2"/>
  <c r="D17" i="13"/>
  <c r="C17" i="13" s="1"/>
  <c r="E8" i="13"/>
  <c r="C8" i="13" s="1"/>
  <c r="C91" i="2"/>
  <c r="F78" i="2"/>
  <c r="F81" i="2" s="1"/>
  <c r="D50" i="2"/>
  <c r="G157" i="2"/>
  <c r="F18" i="2"/>
  <c r="G161" i="2"/>
  <c r="G156" i="2"/>
  <c r="E103" i="2"/>
  <c r="E62" i="2"/>
  <c r="E63" i="2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D81" i="2"/>
  <c r="I169" i="1"/>
  <c r="J643" i="1"/>
  <c r="H476" i="1"/>
  <c r="H624" i="1" s="1"/>
  <c r="J624" i="1" s="1"/>
  <c r="I476" i="1"/>
  <c r="H625" i="1" s="1"/>
  <c r="J625" i="1" s="1"/>
  <c r="J140" i="1"/>
  <c r="I552" i="1"/>
  <c r="K550" i="1"/>
  <c r="G22" i="2"/>
  <c r="H552" i="1"/>
  <c r="C29" i="10"/>
  <c r="H140" i="1"/>
  <c r="F22" i="13"/>
  <c r="H571" i="1"/>
  <c r="J545" i="1"/>
  <c r="H338" i="1"/>
  <c r="H352" i="1" s="1"/>
  <c r="H192" i="1"/>
  <c r="F552" i="1"/>
  <c r="L309" i="1"/>
  <c r="E16" i="13"/>
  <c r="J645" i="1"/>
  <c r="L570" i="1"/>
  <c r="I571" i="1"/>
  <c r="I545" i="1"/>
  <c r="J636" i="1"/>
  <c r="G36" i="2"/>
  <c r="L565" i="1"/>
  <c r="C22" i="13"/>
  <c r="C16" i="13"/>
  <c r="K549" i="1" l="1"/>
  <c r="H545" i="1"/>
  <c r="G545" i="1"/>
  <c r="K551" i="1"/>
  <c r="L529" i="1"/>
  <c r="L524" i="1"/>
  <c r="C118" i="2"/>
  <c r="C11" i="10"/>
  <c r="L247" i="1"/>
  <c r="H660" i="1" s="1"/>
  <c r="A40" i="12"/>
  <c r="A13" i="12"/>
  <c r="I460" i="1"/>
  <c r="I461" i="1" s="1"/>
  <c r="H642" i="1" s="1"/>
  <c r="G62" i="2"/>
  <c r="G63" i="2" s="1"/>
  <c r="G104" i="2" s="1"/>
  <c r="L401" i="1"/>
  <c r="C139" i="2" s="1"/>
  <c r="H408" i="1"/>
  <c r="H644" i="1" s="1"/>
  <c r="J644" i="1" s="1"/>
  <c r="J640" i="1"/>
  <c r="I446" i="1"/>
  <c r="G642" i="1" s="1"/>
  <c r="J639" i="1"/>
  <c r="J634" i="1"/>
  <c r="G476" i="1"/>
  <c r="H623" i="1" s="1"/>
  <c r="J623" i="1" s="1"/>
  <c r="F476" i="1"/>
  <c r="H622" i="1" s="1"/>
  <c r="J622" i="1" s="1"/>
  <c r="D29" i="13"/>
  <c r="C29" i="13" s="1"/>
  <c r="H25" i="13"/>
  <c r="C25" i="13" s="1"/>
  <c r="K271" i="1"/>
  <c r="C132" i="2"/>
  <c r="H33" i="13"/>
  <c r="D7" i="13"/>
  <c r="C7" i="13" s="1"/>
  <c r="H661" i="1"/>
  <c r="G661" i="1"/>
  <c r="F661" i="1"/>
  <c r="C15" i="10"/>
  <c r="C109" i="2"/>
  <c r="F662" i="1"/>
  <c r="I662" i="1" s="1"/>
  <c r="G649" i="1"/>
  <c r="J649" i="1" s="1"/>
  <c r="H647" i="1"/>
  <c r="J647" i="1" s="1"/>
  <c r="C124" i="2"/>
  <c r="C21" i="10"/>
  <c r="C110" i="2"/>
  <c r="H52" i="1"/>
  <c r="H619" i="1" s="1"/>
  <c r="C18" i="10"/>
  <c r="L290" i="1"/>
  <c r="L338" i="1" s="1"/>
  <c r="L352" i="1" s="1"/>
  <c r="G633" i="1" s="1"/>
  <c r="J633" i="1" s="1"/>
  <c r="C16" i="10"/>
  <c r="E109" i="2"/>
  <c r="E115" i="2" s="1"/>
  <c r="D6" i="13"/>
  <c r="C6" i="13" s="1"/>
  <c r="C112" i="2"/>
  <c r="D5" i="13"/>
  <c r="C5" i="13" s="1"/>
  <c r="D62" i="2"/>
  <c r="D63" i="2" s="1"/>
  <c r="D31" i="2"/>
  <c r="D145" i="2"/>
  <c r="C17" i="10"/>
  <c r="E128" i="2"/>
  <c r="C10" i="10"/>
  <c r="E33" i="13"/>
  <c r="D35" i="13" s="1"/>
  <c r="L211" i="1"/>
  <c r="C81" i="2"/>
  <c r="C62" i="2"/>
  <c r="F112" i="1"/>
  <c r="C35" i="10"/>
  <c r="C63" i="2"/>
  <c r="C104" i="2" s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K552" i="1" l="1"/>
  <c r="L545" i="1"/>
  <c r="C128" i="2"/>
  <c r="H664" i="1"/>
  <c r="H672" i="1" s="1"/>
  <c r="C6" i="10" s="1"/>
  <c r="J642" i="1"/>
  <c r="C141" i="2"/>
  <c r="C144" i="2" s="1"/>
  <c r="L408" i="1"/>
  <c r="G637" i="1" s="1"/>
  <c r="J637" i="1" s="1"/>
  <c r="C115" i="2"/>
  <c r="G664" i="1"/>
  <c r="G672" i="1" s="1"/>
  <c r="C5" i="10" s="1"/>
  <c r="I661" i="1"/>
  <c r="D31" i="13"/>
  <c r="C31" i="13" s="1"/>
  <c r="E145" i="2"/>
  <c r="F660" i="1"/>
  <c r="I660" i="1" s="1"/>
  <c r="I664" i="1" s="1"/>
  <c r="I672" i="1" s="1"/>
  <c r="C7" i="10" s="1"/>
  <c r="G667" i="1"/>
  <c r="C28" i="10"/>
  <c r="D24" i="10" s="1"/>
  <c r="L257" i="1"/>
  <c r="L271" i="1" s="1"/>
  <c r="G632" i="1" s="1"/>
  <c r="J632" i="1" s="1"/>
  <c r="C36" i="10"/>
  <c r="F193" i="1"/>
  <c r="G627" i="1" s="1"/>
  <c r="J627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67" i="1" l="1"/>
  <c r="C145" i="2"/>
  <c r="H646" i="1"/>
  <c r="J646" i="1" s="1"/>
  <c r="F664" i="1"/>
  <c r="F672" i="1" s="1"/>
  <c r="C4" i="10" s="1"/>
  <c r="D20" i="10"/>
  <c r="D18" i="10"/>
  <c r="D15" i="10"/>
  <c r="D11" i="10"/>
  <c r="C30" i="10"/>
  <c r="D17" i="10"/>
  <c r="D25" i="10"/>
  <c r="D27" i="10"/>
  <c r="D23" i="10"/>
  <c r="D10" i="10"/>
  <c r="D21" i="10"/>
  <c r="D13" i="10"/>
  <c r="D16" i="10"/>
  <c r="D26" i="10"/>
  <c r="D19" i="10"/>
  <c r="D12" i="10"/>
  <c r="D22" i="10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<sst xmlns="http://schemas.openxmlformats.org/spreadsheetml/2006/main" count="3962" uniqueCount="913">
  <si>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</si>
  <si>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</si>
  <si>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</si>
  <si>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</si>
  <si>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</si>
  <si>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</si>
  <si>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</si>
  <si>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</si>
  <si>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</si>
  <si>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</si>
  <si>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</si>
  <si>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</si>
  <si>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</si>
  <si>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</si>
  <si>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</si>
  <si>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</si>
  <si>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</si>
  <si>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</si>
  <si>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</si>
  <si>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</si>
  <si>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</si>
  <si>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</si>
  <si>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</si>
  <si>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</si>
  <si>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</si>
  <si>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</si>
  <si>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</si>
  <si>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</si>
  <si>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</si>
  <si>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</si>
  <si>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</si>
  <si>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</si>
  <si>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</si>
  <si>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</si>
  <si>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</si>
  <si>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</si>
  <si>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</si>
  <si>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</si>
  <si>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</si>
  <si>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</si>
  <si>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</si>
  <si>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</si>
  <si>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</si>
  <si>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</si>
  <si>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</si>
  <si>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</si>
  <si>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</si>
  <si>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</si>
  <si>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</si>
  <si>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</si>
  <si>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</si>
  <si>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</si>
  <si>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</si>
  <si>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</si>
  <si>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</si>
  <si>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</si>
  <si>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</si>
  <si>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</si>
  <si>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</si>
  <si>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</si>
  <si>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</si>
  <si>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</si>
  <si>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</si>
  <si>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</si>
  <si>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</si>
  <si>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</si>
  <si>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</si>
  <si>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</si>
  <si>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</si>
  <si>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</si>
  <si>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</si>
  <si>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</si>
  <si>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</si>
  <si>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</si>
  <si>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</si>
  <si>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</si>
  <si>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</si>
  <si>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</si>
  <si>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</si>
  <si>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</si>
  <si>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</si>
  <si>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</si>
  <si>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</si>
  <si>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</si>
  <si>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</si>
  <si>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</si>
  <si>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</si>
  <si>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</si>
  <si>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</si>
  <si>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</si>
  <si>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</si>
  <si>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</si>
  <si>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</si>
  <si>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</si>
  <si>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</si>
  <si>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</si>
  <si>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</si>
  <si>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</si>
  <si>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</si>
  <si>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</si>
  <si>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</si>
  <si>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</si>
  <si>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</si>
  <si>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</si>
  <si>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</si>
  <si>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</si>
  <si>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</si>
  <si>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</si>
  <si>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</si>
  <si>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</si>
  <si>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</si>
  <si>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</si>
  <si>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</si>
  <si>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</si>
  <si>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</si>
  <si>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</si>
  <si>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</si>
  <si>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</si>
  <si>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</si>
  <si>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</si>
  <si>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</si>
  <si>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</si>
  <si>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</si>
  <si>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</si>
  <si>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</si>
  <si>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</si>
  <si>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</si>
  <si>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</si>
  <si>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</si>
  <si>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</si>
  <si>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</si>
  <si>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</si>
  <si>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</si>
  <si>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</si>
  <si>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</si>
  <si>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</si>
  <si>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</si>
  <si>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</si>
  <si>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</si>
  <si>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</si>
  <si>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</si>
  <si>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</si>
  <si>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</si>
  <si>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</si>
  <si>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</si>
  <si>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</si>
  <si>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</si>
  <si>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</si>
  <si>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</si>
  <si>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</si>
  <si>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</si>
  <si>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</si>
  <si>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</si>
  <si>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</si>
  <si>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</si>
  <si>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</si>
  <si>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</si>
  <si>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</si>
  <si>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</si>
  <si>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</si>
  <si>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</si>
  <si>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</si>
  <si>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</si>
  <si>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</si>
  <si>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</si>
  <si>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</si>
  <si>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</si>
  <si>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</si>
  <si>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</si>
  <si>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</si>
  <si>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</si>
  <si>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</si>
  <si>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</si>
  <si>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</si>
  <si>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</si>
  <si>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</si>
  <si>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</si>
  <si>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</si>
  <si>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</si>
  <si>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</si>
  <si>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</si>
  <si>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</si>
  <si>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</si>
  <si>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</si>
  <si>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</si>
  <si>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</si>
  <si>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</si>
  <si>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</si>
  <si>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</si>
  <si>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</si>
  <si>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</si>
  <si>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</si>
  <si>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</si>
  <si>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</si>
  <si>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</si>
  <si>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</si>
  <si>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</si>
  <si>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</si>
  <si>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</si>
  <si>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</si>
  <si>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</si>
  <si>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</si>
  <si>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</si>
  <si>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</si>
  <si>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</si>
  <si>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</si>
  <si>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</si>
  <si>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</si>
  <si>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</si>
  <si>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</si>
  <si>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</si>
  <si>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</si>
  <si>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</si>
  <si>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</si>
  <si>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</si>
  <si>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</si>
  <si>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</si>
  <si>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</si>
  <si>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</si>
  <si>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</si>
  <si>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</si>
  <si>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</si>
  <si>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</si>
  <si>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</si>
  <si>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</si>
  <si>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</si>
  <si>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</si>
  <si>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</si>
  <si>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</si>
  <si>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</si>
  <si>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</si>
  <si>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</si>
  <si>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</si>
  <si>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</si>
  <si>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</si>
  <si>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</si>
  <si>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</si>
  <si>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</si>
  <si>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</si>
  <si>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</si>
  <si>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</si>
  <si>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</si>
  <si>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</si>
  <si>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</si>
  <si>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</si>
  <si>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</si>
  <si>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</si>
  <si>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</si>
  <si>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</si>
  <si>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</si>
  <si>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</si>
  <si>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</si>
  <si>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</si>
  <si>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</si>
  <si>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</si>
  <si>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</si>
  <si>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</si>
  <si>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</si>
  <si>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</si>
  <si>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</si>
  <si>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</si>
  <si>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</si>
  <si>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</si>
  <si>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</si>
  <si>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</si>
  <si>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</si>
  <si>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</si>
  <si>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</si>
  <si>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</si>
  <si>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</si>
  <si>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</si>
  <si>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</si>
  <si>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</si>
  <si>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</si>
  <si>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</si>
  <si>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</si>
  <si>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</si>
  <si>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</si>
  <si>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</si>
  <si>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</si>
  <si>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</si>
  <si>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</si>
  <si>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</si>
  <si>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</si>
  <si>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</si>
  <si>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</si>
  <si>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</si>
  <si>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</si>
  <si>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</si>
  <si>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</si>
  <si>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</si>
  <si>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</si>
  <si>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</si>
  <si>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</si>
  <si>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</si>
  <si>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</si>
  <si>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</si>
  <si>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</si>
  <si>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</si>
  <si>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</si>
  <si>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</si>
  <si>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</si>
  <si>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</si>
  <si>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</si>
  <si>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</si>
  <si>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</si>
  <si>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</si>
  <si>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</si>
  <si>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</si>
  <si>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</si>
  <si>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</si>
  <si>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</si>
  <si>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</si>
  <si>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</si>
  <si>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</si>
  <si>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</si>
  <si>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</si>
  <si>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</si>
  <si>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</si>
  <si>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</si>
  <si>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</si>
  <si>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</si>
  <si>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</si>
  <si>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</si>
  <si>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</si>
  <si>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</si>
  <si>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</si>
  <si>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</si>
  <si>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</si>
  <si>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</si>
  <si>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</si>
  <si>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</si>
  <si>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</si>
  <si>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</si>
  <si>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</si>
  <si>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</si>
  <si>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</si>
  <si>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</si>
  <si>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</si>
  <si>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</si>
  <si>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</si>
  <si>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</si>
  <si>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</si>
  <si>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</si>
  <si>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</si>
  <si>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</si>
  <si>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</si>
  <si>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</si>
  <si>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</si>
  <si>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</si>
  <si>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</si>
  <si>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</si>
  <si>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</si>
  <si>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</si>
  <si>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</si>
  <si>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</si>
  <si>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</si>
  <si>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</si>
  <si>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</si>
  <si>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</si>
  <si>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</si>
  <si>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</si>
  <si>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</si>
  <si>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</si>
  <si>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</si>
  <si>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</si>
  <si>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</si>
  <si>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</si>
  <si>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</si>
  <si>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</si>
  <si>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</si>
  <si>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</si>
  <si>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</si>
  <si>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</si>
  <si>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</si>
  <si>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</si>
  <si>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</si>
  <si>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</si>
  <si>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</si>
  <si>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</si>
  <si>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</si>
  <si>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</si>
  <si>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</si>
  <si>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</si>
  <si>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</si>
  <si>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</si>
  <si>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</si>
  <si>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</si>
  <si>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</si>
  <si>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</si>
  <si>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</si>
  <si>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</si>
  <si>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</si>
  <si>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</si>
  <si>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</si>
  <si>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</si>
  <si>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</si>
  <si>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</si>
  <si>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</si>
  <si>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</si>
  <si>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</si>
  <si>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</si>
  <si>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</si>
  <si>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</si>
  <si>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</si>
  <si>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</si>
  <si>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</si>
  <si>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</si>
  <si>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</si>
  <si>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</si>
  <si>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</si>
  <si>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</si>
  <si>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</si>
  <si>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</si>
  <si>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</si>
  <si>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</si>
  <si>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</si>
  <si>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</si>
  <si>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</si>
  <si>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</si>
  <si>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</si>
  <si>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</si>
  <si>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</si>
  <si>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</si>
  <si>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</si>
  <si>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</si>
  <si>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</si>
  <si>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</si>
  <si>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</si>
  <si>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</si>
  <si>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</si>
  <si>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</si>
  <si>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</si>
  <si>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</si>
  <si>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</si>
  <si>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</si>
  <si>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</si>
  <si>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</si>
  <si>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</si>
  <si>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</si>
  <si>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</si>
  <si>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</si>
  <si>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</si>
  <si>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</si>
  <si>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</si>
  <si>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</si>
  <si>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</si>
  <si>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</si>
  <si>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</si>
  <si>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</si>
  <si>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</si>
  <si>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</si>
  <si>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</si>
  <si>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</si>
  <si>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</si>
  <si>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</si>
  <si>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</si>
  <si>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</si>
  <si>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</si>
  <si>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</si>
  <si>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</si>
  <si>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</si>
  <si>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</si>
  <si>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</si>
  <si>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</si>
  <si>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</si>
  <si>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</si>
  <si>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</si>
  <si>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</si>
  <si>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</si>
  <si>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</si>
  <si>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</si>
  <si>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</si>
  <si>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</si>
  <si>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</si>
  <si>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</si>
  <si>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</si>
  <si>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</si>
  <si>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</si>
  <si>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</si>
  <si>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</si>
  <si>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</si>
  <si>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</si>
  <si>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</si>
  <si>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</si>
  <si>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</si>
  <si>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</si>
  <si>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</si>
  <si>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</si>
  <si>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</si>
  <si>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</si>
  <si>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</si>
  <si>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</si>
  <si>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</si>
  <si>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</si>
  <si>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</si>
  <si>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</si>
  <si>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</si>
  <si>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</si>
  <si>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</si>
  <si>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</si>
  <si>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</si>
  <si>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</si>
  <si>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</si>
  <si>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</si>
  <si>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</si>
  <si>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</si>
  <si>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</si>
  <si>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</si>
  <si>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</si>
  <si>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</si>
  <si>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</si>
  <si>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</si>
  <si>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</si>
  <si>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</si>
  <si>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</si>
  <si>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</si>
  <si>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</si>
  <si>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</si>
  <si>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</si>
  <si>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</si>
  <si>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</si>
  <si>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</si>
  <si>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</si>
  <si>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</si>
  <si>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</si>
  <si>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</si>
  <si>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</si>
  <si>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</si>
  <si>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</si>
  <si>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</si>
  <si>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</si>
  <si>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</si>
  <si>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</si>
  <si>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</si>
  <si>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</si>
  <si>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</si>
  <si>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</si>
  <si>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</si>
  <si>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</si>
  <si>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</si>
  <si>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</si>
  <si>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</si>
  <si>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</si>
  <si>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</si>
  <si>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</si>
  <si>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</si>
  <si>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</si>
  <si>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</si>
  <si>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</si>
  <si>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</si>
  <si>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</si>
  <si>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</si>
  <si>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</si>
  <si>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</si>
  <si>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</si>
  <si>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</si>
  <si>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</si>
  <si>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</si>
  <si>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</si>
  <si>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</si>
  <si>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</si>
  <si>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</si>
  <si>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</si>
  <si>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</si>
  <si>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</si>
  <si>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</si>
  <si>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</si>
  <si>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</si>
  <si>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</si>
  <si>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</si>
  <si>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</si>
  <si>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</si>
  <si>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</si>
  <si>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</si>
  <si>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</si>
  <si>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</si>
  <si>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</si>
  <si>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</si>
  <si>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</si>
  <si>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</si>
  <si>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</si>
  <si>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</si>
  <si>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</si>
  <si>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</si>
  <si>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</si>
  <si>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</si>
  <si>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</si>
  <si>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</si>
  <si>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</si>
  <si>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</si>
  <si>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</si>
  <si>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</si>
  <si>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</si>
  <si>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</si>
  <si>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</si>
  <si>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</si>
  <si>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</si>
  <si>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</si>
  <si>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</si>
  <si>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</si>
  <si>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</si>
  <si>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</si>
  <si>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</si>
  <si>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</si>
  <si>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</si>
  <si>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</si>
  <si>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</si>
  <si>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</si>
  <si>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</si>
  <si>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</si>
  <si>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</si>
  <si>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</si>
  <si>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</si>
  <si>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</si>
  <si>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</si>
  <si>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</si>
  <si>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</si>
  <si>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</si>
  <si>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</si>
  <si>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</si>
  <si>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</si>
  <si>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</si>
  <si>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</si>
  <si>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</si>
  <si>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</si>
  <si>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</si>
  <si>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</si>
  <si>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</si>
  <si>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</si>
  <si>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</si>
  <si>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</si>
  <si>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</si>
  <si>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</si>
  <si>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</si>
  <si>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</si>
  <si>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</si>
  <si>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</si>
  <si>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</si>
  <si>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</si>
  <si>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</si>
  <si>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</si>
  <si>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</si>
  <si>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</si>
  <si>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</si>
  <si>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</si>
  <si>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</si>
  <si>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</si>
  <si>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</si>
  <si>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</si>
  <si>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</si>
  <si>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</si>
  <si>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</si>
  <si>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</si>
  <si>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</si>
  <si>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</si>
  <si>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</si>
  <si>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</si>
  <si>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</si>
  <si>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</si>
  <si>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</si>
  <si>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</si>
  <si>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</si>
  <si>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</si>
  <si>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</si>
  <si>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</si>
  <si>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</si>
  <si>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</si>
  <si>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</si>
  <si>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</si>
  <si>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</si>
  <si>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</si>
  <si>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</si>
  <si>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</si>
  <si>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</si>
  <si>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</si>
  <si>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</si>
  <si>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</si>
  <si>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</si>
  <si>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</si>
  <si>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</si>
  <si>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</si>
  <si>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</si>
  <si>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</si>
  <si>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</si>
  <si>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</si>
  <si>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</si>
  <si>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</si>
  <si>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</si>
  <si>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</si>
  <si>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</si>
  <si>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</si>
  <si>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</si>
  <si>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</si>
  <si>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</si>
  <si>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</si>
  <si>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</si>
  <si>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</si>
  <si>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</si>
  <si>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</si>
  <si>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</si>
  <si>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</si>
  <si>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</si>
  <si>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</si>
  <si>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</si>
  <si>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</si>
  <si>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</si>
  <si>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</si>
  <si>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</si>
  <si>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</si>
  <si>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</si>
  <si>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</si>
  <si>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</si>
  <si>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</si>
  <si>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</si>
  <si>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</si>
  <si>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</si>
  <si>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</si>
  <si>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</si>
  <si>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</si>
  <si>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</si>
  <si>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</si>
  <si>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</si>
  <si>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</si>
  <si>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</si>
  <si>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</si>
  <si>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</si>
  <si>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</si>
  <si>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</si>
  <si>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</si>
  <si>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</si>
  <si>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</si>
  <si>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</si>
  <si>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</si>
  <si>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</si>
  <si>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</si>
  <si>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</si>
  <si>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</si>
  <si>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</si>
  <si>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</si>
  <si>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</si>
  <si>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</si>
  <si>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</si>
  <si>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</si>
  <si>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</si>
  <si>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</si>
  <si>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</si>
  <si>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</si>
  <si>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</si>
  <si>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</si>
  <si>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</si>
  <si>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</si>
  <si>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</si>
  <si>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</si>
  <si>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</si>
  <si>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</si>
  <si>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</si>
  <si>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</si>
  <si>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</si>
  <si>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</si>
  <si>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</si>
  <si>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</si>
  <si>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</si>
  <si>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</si>
  <si>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</si>
  <si>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</si>
  <si>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</si>
  <si>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</si>
  <si>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</si>
  <si>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</si>
  <si>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</si>
  <si>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</si>
  <si>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</si>
  <si>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</si>
  <si>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</si>
  <si>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</si>
  <si>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</si>
  <si>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</si>
  <si>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</si>
  <si>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</si>
  <si>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</si>
  <si>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</si>
  <si>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</si>
  <si>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</si>
  <si>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</si>
  <si>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</si>
  <si>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</si>
  <si>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</si>
  <si>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</si>
  <si>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</si>
  <si>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</si>
  <si>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</si>
  <si>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</si>
  <si>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</si>
  <si>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</si>
  <si>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</si>
  <si>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</si>
  <si>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</si>
  <si>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</si>
  <si>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</si>
  <si>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</si>
  <si>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</si>
  <si>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</si>
  <si>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</si>
  <si>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</si>
  <si>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</si>
  <si>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</si>
  <si>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</si>
  <si>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</si>
  <si>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</si>
  <si>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</si>
  <si>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</si>
  <si>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</si>
  <si>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</si>
  <si>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</si>
  <si>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</si>
  <si>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</si>
  <si>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</si>
  <si>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</si>
  <si>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</si>
  <si>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</si>
  <si>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</si>
  <si>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</si>
  <si>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</si>
  <si>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</si>
  <si>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</si>
  <si>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</si>
  <si>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</si>
  <si>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</si>
  <si>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</si>
  <si>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</si>
  <si>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</si>
  <si>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</si>
  <si>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</si>
  <si>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</si>
  <si>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</si>
  <si>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</si>
  <si>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</si>
  <si>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</si>
  <si>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</si>
  <si>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</si>
  <si>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</si>
  <si>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</si>
  <si>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</si>
  <si>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</si>
  <si>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</si>
  <si>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</si>
  <si>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</si>
  <si>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</si>
  <si>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</si>
  <si>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</si>
  <si>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</si>
  <si>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</si>
  <si>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</si>
  <si>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</si>
  <si>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</si>
  <si>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</si>
  <si>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</si>
  <si>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</si>
  <si>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</si>
  <si>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</si>
  <si>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</si>
  <si>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</si>
  <si>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</si>
  <si>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</si>
  <si>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</si>
  <si>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</si>
  <si>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</si>
  <si>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</si>
  <si>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</si>
  <si>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</si>
  <si>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</si>
  <si>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</si>
  <si>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</si>
  <si>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</si>
  <si>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</si>
  <si>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</si>
  <si>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</si>
  <si>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</si>
  <si>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</si>
  <si>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</si>
  <si>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</si>
  <si>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</si>
  <si>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</si>
  <si>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</si>
  <si>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</si>
  <si>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</si>
  <si>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</si>
  <si>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</si>
  <si>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</si>
  <si>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</si>
  <si>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</si>
  <si>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</si>
  <si>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</si>
  <si>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</si>
  <si>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</si>
  <si>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</si>
  <si>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</si>
  <si>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</si>
  <si>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</si>
  <si>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</si>
  <si>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</si>
  <si>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</si>
  <si>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</si>
  <si>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</si>
  <si>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</si>
  <si>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</si>
  <si>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</si>
  <si>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</si>
  <si>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</si>
  <si>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</si>
  <si>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ALLENSTOWN</t>
  </si>
  <si>
    <t>Negative amount in Other Income is for 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</si>
</sst>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</v>
      </c>
      <c r="C2" s="21">
        <v>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878308.71</v>
      </c>
      <c r="G9" s="18"/>
      <c r="H9" s="18"/>
      <c r="I9" s="18"/>
      <c r="J9" s="67">
        <f>SUM(I439)</f>
        <v>117577.73000000001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26854.35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56423.88</v>
      </c>
      <c r="G13" s="18">
        <v>8857.31</v>
      </c>
      <c r="H13" s="18">
        <v>27532.91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5161.1899999999996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119.9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961706.84</v>
      </c>
      <c r="G19" s="41">
        <f>SUM(G9:G18)</f>
        <v>14018.5</v>
      </c>
      <c r="H19" s="41">
        <f>SUM(H9:H18)</f>
        <v>27532.91</v>
      </c>
      <c r="I19" s="41">
        <f>SUM(I9:I18)</f>
        <v>0</v>
      </c>
      <c r="J19" s="41">
        <f>SUM(J9:J18)</f>
        <v>117577.73000000001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2474.13</v>
      </c>
      <c r="H22" s="18">
        <v>24380.22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532315.92000000004</v>
      </c>
      <c r="G23" s="18">
        <v>1544.37</v>
      </c>
      <c r="H23" s="18">
        <v>3152.69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8071.34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105973.39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646360.65</v>
      </c>
      <c r="G32" s="41">
        <f>SUM(G22:G31)</f>
        <v>4018.5</v>
      </c>
      <c r="H32" s="41">
        <f>SUM(H22:H31)</f>
        <v>27532.91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82593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117577.73000000001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232753.19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315346.19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117577.73000000001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961706.84000000008</v>
      </c>
      <c r="G52" s="41">
        <f>G51+G32</f>
        <v>14018.5</v>
      </c>
      <c r="H52" s="41">
        <f>H51+H32</f>
        <v>27532.91</v>
      </c>
      <c r="I52" s="41">
        <f>I51+I32</f>
        <v>0</v>
      </c>
      <c r="J52" s="41">
        <f>J51+J32</f>
        <v>117577.73000000001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4000454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4000454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18531.84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18531.84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36047.919999999998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56157.13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3275.5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3712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9186.8700000000008</v>
      </c>
      <c r="G110" s="18">
        <v>2513.61</v>
      </c>
      <c r="H110" s="18"/>
      <c r="I110" s="18"/>
      <c r="J110" s="18">
        <v>-27564.59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16174.37</v>
      </c>
      <c r="G111" s="41">
        <f>SUM(G96:G110)</f>
        <v>58670.74</v>
      </c>
      <c r="H111" s="41">
        <f>SUM(H96:H110)</f>
        <v>0</v>
      </c>
      <c r="I111" s="41">
        <f>SUM(I96:I110)</f>
        <v>0</v>
      </c>
      <c r="J111" s="41">
        <f>SUM(J96:J110)</f>
        <v>8483.3299999999981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4035160.21</v>
      </c>
      <c r="G112" s="41">
        <f>G60+G111</f>
        <v>58670.74</v>
      </c>
      <c r="H112" s="41">
        <f>H60+H79+H94+H111</f>
        <v>0</v>
      </c>
      <c r="I112" s="41">
        <f>I60+I111</f>
        <v>0</v>
      </c>
      <c r="J112" s="41">
        <f>J60+J111</f>
        <v>8483.3299999999981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4279210.7300000004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565133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4844343.7300000004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142615.20000000001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237.63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142615.20000000001</v>
      </c>
      <c r="G136" s="41">
        <f>SUM(G123:G135)</f>
        <v>237.63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4986958.9300000006</v>
      </c>
      <c r="G140" s="41">
        <f>G121+SUM(G136:G137)</f>
        <v>237.63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137238.45000000001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15008.72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93574.11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116117.66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10876.41</v>
      </c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116117.66</v>
      </c>
      <c r="G162" s="41">
        <f>SUM(G150:G161)</f>
        <v>104450.52</v>
      </c>
      <c r="H162" s="41">
        <f>SUM(H150:H161)</f>
        <v>152247.17000000001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116117.66</v>
      </c>
      <c r="G169" s="41">
        <f>G147+G162+SUM(G163:G168)</f>
        <v>104450.52</v>
      </c>
      <c r="H169" s="41">
        <f>H147+H162+SUM(H163:H168)</f>
        <v>152247.17000000001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27992.42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27992.42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 t="s">
        <v>287</v>
      </c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27992.42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9138236.8000000007</v>
      </c>
      <c r="G193" s="47">
        <f>G112+G140+G169+G192</f>
        <v>191351.31</v>
      </c>
      <c r="H193" s="47">
        <f>H112+H140+H169+H192</f>
        <v>152247.17000000001</v>
      </c>
      <c r="I193" s="47">
        <f>I112+I140+I169+I192</f>
        <v>0</v>
      </c>
      <c r="J193" s="47">
        <f>J112+J140+J192</f>
        <v>8483.3299999999981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1681103.98</v>
      </c>
      <c r="G197" s="18">
        <v>801179.02</v>
      </c>
      <c r="H197" s="18">
        <v>7739.36</v>
      </c>
      <c r="I197" s="18">
        <v>47869.23</v>
      </c>
      <c r="J197" s="18">
        <v>54542.74</v>
      </c>
      <c r="K197" s="18">
        <v>80</v>
      </c>
      <c r="L197" s="19">
        <f>SUM(F197:K197)</f>
        <v>2592514.33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718602.61</v>
      </c>
      <c r="G198" s="18">
        <v>342508.53</v>
      </c>
      <c r="H198" s="18">
        <v>293500.2</v>
      </c>
      <c r="I198" s="18">
        <v>10906.43</v>
      </c>
      <c r="J198" s="18">
        <v>9035.57</v>
      </c>
      <c r="K198" s="18">
        <v>265</v>
      </c>
      <c r="L198" s="19">
        <f>SUM(F198:K198)</f>
        <v>1374818.34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23225</v>
      </c>
      <c r="G200" s="18">
        <v>10328.27</v>
      </c>
      <c r="H200" s="18">
        <v>3835</v>
      </c>
      <c r="I200" s="18">
        <v>1212.5</v>
      </c>
      <c r="J200" s="18">
        <v>3540</v>
      </c>
      <c r="K200" s="18">
        <v>800</v>
      </c>
      <c r="L200" s="19">
        <f>SUM(F200:K200)</f>
        <v>42940.770000000004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267936.71000000002</v>
      </c>
      <c r="G202" s="18">
        <v>128365.7</v>
      </c>
      <c r="H202" s="18">
        <v>373634.59</v>
      </c>
      <c r="I202" s="18">
        <v>6836.41</v>
      </c>
      <c r="J202" s="18">
        <v>1687.92</v>
      </c>
      <c r="K202" s="18">
        <v>913.96</v>
      </c>
      <c r="L202" s="19">
        <f t="shared" ref="L202:L208" si="0">SUM(F202:K202)</f>
        <v>779375.29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67183.08</v>
      </c>
      <c r="G203" s="18">
        <v>43665.29</v>
      </c>
      <c r="H203" s="18">
        <v>7446.23</v>
      </c>
      <c r="I203" s="18">
        <v>8021.8</v>
      </c>
      <c r="J203" s="18">
        <v>720</v>
      </c>
      <c r="K203" s="18">
        <v>170</v>
      </c>
      <c r="L203" s="19">
        <f t="shared" si="0"/>
        <v>127206.39999999999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10083.15</v>
      </c>
      <c r="G204" s="18">
        <v>4426.3999999999996</v>
      </c>
      <c r="H204" s="18">
        <v>181228.74</v>
      </c>
      <c r="I204" s="18">
        <v>1981.45</v>
      </c>
      <c r="J204" s="18"/>
      <c r="K204" s="18">
        <v>5438.06</v>
      </c>
      <c r="L204" s="19">
        <f t="shared" si="0"/>
        <v>203157.8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198121.81</v>
      </c>
      <c r="G205" s="18">
        <v>94429.94</v>
      </c>
      <c r="H205" s="18">
        <v>129853.24</v>
      </c>
      <c r="I205" s="18">
        <v>3905.61</v>
      </c>
      <c r="J205" s="18">
        <v>3300.02</v>
      </c>
      <c r="K205" s="18">
        <v>1901.72</v>
      </c>
      <c r="L205" s="19">
        <f t="shared" si="0"/>
        <v>431512.33999999997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128323.19</v>
      </c>
      <c r="G207" s="18">
        <v>61969.65</v>
      </c>
      <c r="H207" s="18">
        <v>295484.33</v>
      </c>
      <c r="I207" s="18">
        <v>93212.08</v>
      </c>
      <c r="J207" s="18">
        <v>4859.62</v>
      </c>
      <c r="K207" s="18">
        <v>0</v>
      </c>
      <c r="L207" s="19">
        <f t="shared" si="0"/>
        <v>583848.87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296310.89</v>
      </c>
      <c r="I208" s="18">
        <v>0</v>
      </c>
      <c r="J208" s="18"/>
      <c r="K208" s="18"/>
      <c r="L208" s="19">
        <f t="shared" si="0"/>
        <v>296310.89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3094579.53</v>
      </c>
      <c r="G211" s="41">
        <f t="shared" si="1"/>
        <v>1486872.7999999998</v>
      </c>
      <c r="H211" s="41">
        <f t="shared" si="1"/>
        <v>1589032.58</v>
      </c>
      <c r="I211" s="41">
        <f t="shared" si="1"/>
        <v>173945.51</v>
      </c>
      <c r="J211" s="41">
        <f t="shared" si="1"/>
        <v>77685.87</v>
      </c>
      <c r="K211" s="41">
        <f t="shared" si="1"/>
        <v>9568.74</v>
      </c>
      <c r="L211" s="41">
        <f t="shared" si="1"/>
        <v>6431685.0300000003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1678133</v>
      </c>
      <c r="I233" s="18"/>
      <c r="J233" s="18"/>
      <c r="K233" s="18"/>
      <c r="L233" s="19">
        <f>SUM(F233:K233)</f>
        <v>1678133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624119.86</v>
      </c>
      <c r="I234" s="18"/>
      <c r="J234" s="18"/>
      <c r="K234" s="18"/>
      <c r="L234" s="19">
        <f>SUM(F234:K234)</f>
        <v>624119.86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168269.94</v>
      </c>
      <c r="I238" s="18"/>
      <c r="J238" s="18"/>
      <c r="K238" s="18"/>
      <c r="L238" s="19">
        <f t="shared" ref="L238:L244" si="4">SUM(F238:K238)</f>
        <v>168269.94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62038.92</v>
      </c>
      <c r="I244" s="18"/>
      <c r="J244" s="18"/>
      <c r="K244" s="18"/>
      <c r="L244" s="19">
        <f t="shared" si="4"/>
        <v>62038.92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2532561.7199999997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2532561.7199999997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13293</v>
      </c>
      <c r="I255" s="18"/>
      <c r="J255" s="18"/>
      <c r="K255" s="18"/>
      <c r="L255" s="19">
        <f t="shared" si="6"/>
        <v>13293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13293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13293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3094579.53</v>
      </c>
      <c r="G257" s="41">
        <f t="shared" si="8"/>
        <v>1486872.7999999998</v>
      </c>
      <c r="H257" s="41">
        <f t="shared" si="8"/>
        <v>4134887.3</v>
      </c>
      <c r="I257" s="41">
        <f t="shared" si="8"/>
        <v>173945.51</v>
      </c>
      <c r="J257" s="41">
        <f t="shared" si="8"/>
        <v>77685.87</v>
      </c>
      <c r="K257" s="41">
        <f t="shared" si="8"/>
        <v>9568.74</v>
      </c>
      <c r="L257" s="41">
        <f t="shared" si="8"/>
        <v>8977539.75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27992.42</v>
      </c>
      <c r="L263" s="19">
        <f>SUM(F263:K263)</f>
        <v>27992.42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6729.45</v>
      </c>
      <c r="L268" s="19">
        <f t="shared" si="9"/>
        <v>6729.45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34721.869999999995</v>
      </c>
      <c r="L270" s="41">
        <f t="shared" si="9"/>
        <v>34721.869999999995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3094579.53</v>
      </c>
      <c r="G271" s="42">
        <f t="shared" si="11"/>
        <v>1486872.7999999998</v>
      </c>
      <c r="H271" s="42">
        <f t="shared" si="11"/>
        <v>4134887.3</v>
      </c>
      <c r="I271" s="42">
        <f t="shared" si="11"/>
        <v>173945.51</v>
      </c>
      <c r="J271" s="42">
        <f t="shared" si="11"/>
        <v>77685.87</v>
      </c>
      <c r="K271" s="42">
        <f t="shared" si="11"/>
        <v>44290.609999999993</v>
      </c>
      <c r="L271" s="42">
        <f t="shared" si="11"/>
        <v>9012261.6199999992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113089.97</v>
      </c>
      <c r="G276" s="18">
        <v>9899.9500000000007</v>
      </c>
      <c r="H276" s="18">
        <v>493</v>
      </c>
      <c r="I276" s="18">
        <v>1354.44</v>
      </c>
      <c r="J276" s="18">
        <v>0</v>
      </c>
      <c r="K276" s="18"/>
      <c r="L276" s="19">
        <f>SUM(F276:K276)</f>
        <v>124837.36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0</v>
      </c>
      <c r="I281" s="18">
        <v>778.8</v>
      </c>
      <c r="J281" s="18"/>
      <c r="K281" s="18"/>
      <c r="L281" s="19">
        <f t="shared" ref="L281:L287" si="12">SUM(F281:K281)</f>
        <v>778.8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4375</v>
      </c>
      <c r="G282" s="18">
        <v>356.51</v>
      </c>
      <c r="H282" s="18">
        <v>14330.34</v>
      </c>
      <c r="I282" s="18">
        <v>0</v>
      </c>
      <c r="J282" s="18">
        <v>0</v>
      </c>
      <c r="K282" s="18"/>
      <c r="L282" s="19">
        <f t="shared" si="12"/>
        <v>19061.849999999999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2000</v>
      </c>
      <c r="G283" s="18">
        <v>181.87</v>
      </c>
      <c r="H283" s="18">
        <v>3350</v>
      </c>
      <c r="I283" s="18"/>
      <c r="J283" s="18"/>
      <c r="K283" s="18">
        <v>2037.29</v>
      </c>
      <c r="L283" s="19">
        <f t="shared" si="12"/>
        <v>7569.16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119464.97</v>
      </c>
      <c r="G290" s="42">
        <f t="shared" si="13"/>
        <v>10438.330000000002</v>
      </c>
      <c r="H290" s="42">
        <f t="shared" si="13"/>
        <v>18173.34</v>
      </c>
      <c r="I290" s="42">
        <f t="shared" si="13"/>
        <v>2133.2399999999998</v>
      </c>
      <c r="J290" s="42">
        <f t="shared" si="13"/>
        <v>0</v>
      </c>
      <c r="K290" s="42">
        <f t="shared" si="13"/>
        <v>2037.29</v>
      </c>
      <c r="L290" s="41">
        <f t="shared" si="13"/>
        <v>152247.17000000001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119464.97</v>
      </c>
      <c r="G338" s="41">
        <f t="shared" si="20"/>
        <v>10438.330000000002</v>
      </c>
      <c r="H338" s="41">
        <f t="shared" si="20"/>
        <v>18173.34</v>
      </c>
      <c r="I338" s="41">
        <f t="shared" si="20"/>
        <v>2133.2399999999998</v>
      </c>
      <c r="J338" s="41">
        <f t="shared" si="20"/>
        <v>0</v>
      </c>
      <c r="K338" s="41">
        <f t="shared" si="20"/>
        <v>2037.29</v>
      </c>
      <c r="L338" s="41">
        <f t="shared" si="20"/>
        <v>152247.17000000001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119464.97</v>
      </c>
      <c r="G352" s="41">
        <f>G338</f>
        <v>10438.330000000002</v>
      </c>
      <c r="H352" s="41">
        <f>H338</f>
        <v>18173.34</v>
      </c>
      <c r="I352" s="41">
        <f>I338</f>
        <v>2133.2399999999998</v>
      </c>
      <c r="J352" s="41">
        <f>J338</f>
        <v>0</v>
      </c>
      <c r="K352" s="47">
        <f>K338+K351</f>
        <v>2037.29</v>
      </c>
      <c r="L352" s="41">
        <f>L338+L351</f>
        <v>152247.17000000001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75929.91</v>
      </c>
      <c r="G358" s="18">
        <v>9469.85</v>
      </c>
      <c r="H358" s="18">
        <v>8242.16</v>
      </c>
      <c r="I358" s="18">
        <v>97443.14</v>
      </c>
      <c r="J358" s="18">
        <v>0</v>
      </c>
      <c r="K358" s="18">
        <v>266.25</v>
      </c>
      <c r="L358" s="13">
        <f>SUM(F358:K358)</f>
        <v>191351.31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75929.91</v>
      </c>
      <c r="G362" s="47">
        <f t="shared" si="22"/>
        <v>9469.85</v>
      </c>
      <c r="H362" s="47">
        <f t="shared" si="22"/>
        <v>8242.16</v>
      </c>
      <c r="I362" s="47">
        <f t="shared" si="22"/>
        <v>97443.14</v>
      </c>
      <c r="J362" s="47">
        <f t="shared" si="22"/>
        <v>0</v>
      </c>
      <c r="K362" s="47">
        <f t="shared" si="22"/>
        <v>266.25</v>
      </c>
      <c r="L362" s="47">
        <f t="shared" si="22"/>
        <v>191351.31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88809.33</v>
      </c>
      <c r="G367" s="18"/>
      <c r="H367" s="18"/>
      <c r="I367" s="56">
        <f>SUM(F367:H367)</f>
        <v>88809.33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8633.81</v>
      </c>
      <c r="G368" s="63"/>
      <c r="H368" s="63"/>
      <c r="I368" s="56">
        <f>SUM(F368:H368)</f>
        <v>8633.81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97443.14</v>
      </c>
      <c r="G369" s="47">
        <f>SUM(G367:G368)</f>
        <v>0</v>
      </c>
      <c r="H369" s="47">
        <f>SUM(H367:H368)</f>
        <v>0</v>
      </c>
      <c r="I369" s="47">
        <f>SUM(I367:I368)</f>
        <v>97443.14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445.16</v>
      </c>
      <c r="I389" s="18">
        <v>-1730.47</v>
      </c>
      <c r="J389" s="24" t="s">
        <v>289</v>
      </c>
      <c r="K389" s="24" t="s">
        <v>289</v>
      </c>
      <c r="L389" s="56">
        <f t="shared" si="25"/>
        <v>-1285.31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445.16</v>
      </c>
      <c r="I393" s="65">
        <f>SUM(I387:I392)</f>
        <v>-1730.47</v>
      </c>
      <c r="J393" s="45" t="s">
        <v>289</v>
      </c>
      <c r="K393" s="45" t="s">
        <v>289</v>
      </c>
      <c r="L393" s="47">
        <f>SUM(L387:L392)</f>
        <v>-1285.31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12969.37</v>
      </c>
      <c r="I396" s="18">
        <v>-6774.6</v>
      </c>
      <c r="J396" s="24" t="s">
        <v>289</v>
      </c>
      <c r="K396" s="24" t="s">
        <v>289</v>
      </c>
      <c r="L396" s="56">
        <f t="shared" si="26"/>
        <v>6194.77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15497.65</v>
      </c>
      <c r="I397" s="18">
        <v>-10486.77</v>
      </c>
      <c r="J397" s="24" t="s">
        <v>289</v>
      </c>
      <c r="K397" s="24" t="s">
        <v>289</v>
      </c>
      <c r="L397" s="56">
        <f t="shared" si="26"/>
        <v>5010.8799999999992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5126.95</v>
      </c>
      <c r="I398" s="18">
        <v>-5786.74</v>
      </c>
      <c r="J398" s="24" t="s">
        <v>289</v>
      </c>
      <c r="K398" s="24" t="s">
        <v>289</v>
      </c>
      <c r="L398" s="56">
        <f t="shared" si="26"/>
        <v>-659.79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2008.79</v>
      </c>
      <c r="I399" s="18">
        <v>-2786.01</v>
      </c>
      <c r="J399" s="24" t="s">
        <v>289</v>
      </c>
      <c r="K399" s="24" t="s">
        <v>289</v>
      </c>
      <c r="L399" s="56">
        <f t="shared" si="26"/>
        <v>-777.22000000000025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35602.76</v>
      </c>
      <c r="I401" s="47">
        <f>SUM(I395:I400)</f>
        <v>-25834.120000000003</v>
      </c>
      <c r="J401" s="45" t="s">
        <v>289</v>
      </c>
      <c r="K401" s="45" t="s">
        <v>289</v>
      </c>
      <c r="L401" s="47">
        <f>SUM(L395:L400)</f>
        <v>9768.64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36047.920000000006</v>
      </c>
      <c r="I408" s="47">
        <f>I393+I401+I407</f>
        <v>-27564.590000000004</v>
      </c>
      <c r="J408" s="24" t="s">
        <v>289</v>
      </c>
      <c r="K408" s="24" t="s">
        <v>289</v>
      </c>
      <c r="L408" s="47">
        <f>L393+L401+L407</f>
        <v>8483.33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5547.35</v>
      </c>
      <c r="G439" s="18">
        <v>112030.38</v>
      </c>
      <c r="H439" s="18"/>
      <c r="I439" s="56">
        <f t="shared" ref="I439:I445" si="33">SUM(F439:H439)</f>
        <v>117577.73000000001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5547.35</v>
      </c>
      <c r="G446" s="13">
        <f>SUM(G439:G445)</f>
        <v>112030.38</v>
      </c>
      <c r="H446" s="13">
        <f>SUM(H439:H445)</f>
        <v>0</v>
      </c>
      <c r="I446" s="13">
        <f>SUM(I439:I445)</f>
        <v>117577.73000000001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5547.35</v>
      </c>
      <c r="G459" s="18">
        <v>112030.38</v>
      </c>
      <c r="H459" s="18"/>
      <c r="I459" s="56">
        <f t="shared" si="34"/>
        <v>117577.73000000001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5547.35</v>
      </c>
      <c r="G460" s="83">
        <f>SUM(G454:G459)</f>
        <v>112030.38</v>
      </c>
      <c r="H460" s="83">
        <f>SUM(H454:H459)</f>
        <v>0</v>
      </c>
      <c r="I460" s="83">
        <f>SUM(I454:I459)</f>
        <v>117577.73000000001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5547.35</v>
      </c>
      <c r="G461" s="42">
        <f>G452+G460</f>
        <v>112030.38</v>
      </c>
      <c r="H461" s="42">
        <f>H452+H460</f>
        <v>0</v>
      </c>
      <c r="I461" s="42">
        <f>I452+I460</f>
        <v>117577.73000000001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189371.01</v>
      </c>
      <c r="G465" s="18">
        <v>10000</v>
      </c>
      <c r="H465" s="18">
        <v>0</v>
      </c>
      <c r="I465" s="18">
        <v>0</v>
      </c>
      <c r="J465" s="18">
        <v>109094.39999999999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9138236.8000000007</v>
      </c>
      <c r="G468" s="18">
        <v>191351.31</v>
      </c>
      <c r="H468" s="18">
        <v>152247.17000000001</v>
      </c>
      <c r="I468" s="18"/>
      <c r="J468" s="18">
        <v>8483.33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9138236.8000000007</v>
      </c>
      <c r="G470" s="53">
        <f>SUM(G468:G469)</f>
        <v>191351.31</v>
      </c>
      <c r="H470" s="53">
        <f>SUM(H468:H469)</f>
        <v>152247.17000000001</v>
      </c>
      <c r="I470" s="53">
        <f>SUM(I468:I469)</f>
        <v>0</v>
      </c>
      <c r="J470" s="53">
        <f>SUM(J468:J469)</f>
        <v>8483.33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9012261.6199999992</v>
      </c>
      <c r="G472" s="18">
        <v>191351.31</v>
      </c>
      <c r="H472" s="18">
        <v>152247.17000000001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9012261.6199999992</v>
      </c>
      <c r="G474" s="53">
        <f>SUM(G472:G473)</f>
        <v>191351.31</v>
      </c>
      <c r="H474" s="53">
        <f>SUM(H472:H473)</f>
        <v>152247.17000000001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315346.19000000134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117577.73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10934.18</v>
      </c>
      <c r="G507" s="144"/>
      <c r="H507" s="144">
        <v>2862.84</v>
      </c>
      <c r="I507" s="144">
        <v>8071.34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718602.61</v>
      </c>
      <c r="G521" s="18">
        <v>342508.53</v>
      </c>
      <c r="H521" s="18">
        <v>293500.2</v>
      </c>
      <c r="I521" s="18">
        <v>10906.43</v>
      </c>
      <c r="J521" s="18">
        <v>9035.57</v>
      </c>
      <c r="K521" s="18">
        <v>265</v>
      </c>
      <c r="L521" s="88">
        <f>SUM(F521:K521)</f>
        <v>1374818.34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624119.86</v>
      </c>
      <c r="I523" s="18"/>
      <c r="J523" s="18"/>
      <c r="K523" s="18"/>
      <c r="L523" s="88">
        <f>SUM(F523:K523)</f>
        <v>624119.86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718602.61</v>
      </c>
      <c r="G524" s="108">
        <f t="shared" ref="G524:L524" si="36">SUM(G521:G523)</f>
        <v>342508.53</v>
      </c>
      <c r="H524" s="108">
        <f t="shared" si="36"/>
        <v>917620.06</v>
      </c>
      <c r="I524" s="108">
        <f t="shared" si="36"/>
        <v>10906.43</v>
      </c>
      <c r="J524" s="108">
        <f t="shared" si="36"/>
        <v>9035.57</v>
      </c>
      <c r="K524" s="108">
        <f t="shared" si="36"/>
        <v>265</v>
      </c>
      <c r="L524" s="89">
        <f t="shared" si="36"/>
        <v>1998938.2000000002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361059.09</v>
      </c>
      <c r="I526" s="18"/>
      <c r="J526" s="18"/>
      <c r="K526" s="18"/>
      <c r="L526" s="88">
        <f>SUM(F526:K526)</f>
        <v>361059.09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168269.94</v>
      </c>
      <c r="I528" s="18"/>
      <c r="J528" s="18"/>
      <c r="K528" s="18"/>
      <c r="L528" s="88">
        <f>SUM(F528:K528)</f>
        <v>168269.94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529329.03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529329.03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8256.42</v>
      </c>
      <c r="G531" s="18">
        <v>5075.84</v>
      </c>
      <c r="H531" s="18">
        <v>944.51</v>
      </c>
      <c r="I531" s="18"/>
      <c r="J531" s="18"/>
      <c r="K531" s="18"/>
      <c r="L531" s="88">
        <f>SUM(F531:K531)</f>
        <v>14276.77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2064.1</v>
      </c>
      <c r="G533" s="18">
        <v>1268.96</v>
      </c>
      <c r="H533" s="18">
        <v>74.400000000000006</v>
      </c>
      <c r="I533" s="18"/>
      <c r="J533" s="18"/>
      <c r="K533" s="18"/>
      <c r="L533" s="88">
        <f>SUM(F533:K533)</f>
        <v>3407.46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10320.52</v>
      </c>
      <c r="G534" s="89">
        <f t="shared" ref="G534:L534" si="38">SUM(G531:G533)</f>
        <v>6344.8</v>
      </c>
      <c r="H534" s="89">
        <f t="shared" si="38"/>
        <v>1018.91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17684.23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55.5</v>
      </c>
      <c r="I536" s="18"/>
      <c r="J536" s="18"/>
      <c r="K536" s="18"/>
      <c r="L536" s="88">
        <f>SUM(F536:K536)</f>
        <v>55.5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55.5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55.5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111001.59</v>
      </c>
      <c r="I541" s="18"/>
      <c r="J541" s="18"/>
      <c r="K541" s="18"/>
      <c r="L541" s="88">
        <f>SUM(F541:K541)</f>
        <v>111001.59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62038.92</v>
      </c>
      <c r="I543" s="18"/>
      <c r="J543" s="18"/>
      <c r="K543" s="18"/>
      <c r="L543" s="88">
        <f>SUM(F543:K543)</f>
        <v>62038.92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173040.51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173040.51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728923.13</v>
      </c>
      <c r="G545" s="89">
        <f t="shared" ref="G545:L545" si="41">G524+G529+G534+G539+G544</f>
        <v>348853.33</v>
      </c>
      <c r="H545" s="89">
        <f t="shared" si="41"/>
        <v>1621064.01</v>
      </c>
      <c r="I545" s="89">
        <f t="shared" si="41"/>
        <v>10906.43</v>
      </c>
      <c r="J545" s="89">
        <f t="shared" si="41"/>
        <v>9035.57</v>
      </c>
      <c r="K545" s="89">
        <f t="shared" si="41"/>
        <v>265</v>
      </c>
      <c r="L545" s="89">
        <f t="shared" si="41"/>
        <v>2719047.4700000007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1374818.34</v>
      </c>
      <c r="G549" s="87">
        <f>L526</f>
        <v>361059.09</v>
      </c>
      <c r="H549" s="87">
        <f>L531</f>
        <v>14276.77</v>
      </c>
      <c r="I549" s="87">
        <f>L536</f>
        <v>55.5</v>
      </c>
      <c r="J549" s="87">
        <f>L541</f>
        <v>111001.59</v>
      </c>
      <c r="K549" s="87">
        <f>SUM(F549:J549)</f>
        <v>1861211.2900000003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624119.86</v>
      </c>
      <c r="G551" s="87">
        <f>L528</f>
        <v>168269.94</v>
      </c>
      <c r="H551" s="87">
        <f>L533</f>
        <v>3407.46</v>
      </c>
      <c r="I551" s="87">
        <f>L538</f>
        <v>0</v>
      </c>
      <c r="J551" s="87">
        <f>L543</f>
        <v>62038.92</v>
      </c>
      <c r="K551" s="87">
        <f>SUM(F551:J551)</f>
        <v>857836.18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1998938.2000000002</v>
      </c>
      <c r="G552" s="89">
        <f t="shared" si="42"/>
        <v>529329.03</v>
      </c>
      <c r="H552" s="89">
        <f t="shared" si="42"/>
        <v>17684.23</v>
      </c>
      <c r="I552" s="89">
        <f t="shared" si="42"/>
        <v>55.5</v>
      </c>
      <c r="J552" s="89">
        <f t="shared" si="42"/>
        <v>173040.51</v>
      </c>
      <c r="K552" s="89">
        <f t="shared" si="42"/>
        <v>2719047.47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3616.11</v>
      </c>
      <c r="G557" s="18">
        <v>1723.36</v>
      </c>
      <c r="H557" s="18"/>
      <c r="I557" s="18"/>
      <c r="J557" s="18"/>
      <c r="K557" s="18"/>
      <c r="L557" s="88">
        <f>SUM(F557:K557)</f>
        <v>5339.47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3616.11</v>
      </c>
      <c r="G560" s="108">
        <f t="shared" si="43"/>
        <v>1723.36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5339.47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7739.36</v>
      </c>
      <c r="I562" s="18"/>
      <c r="J562" s="18"/>
      <c r="K562" s="18"/>
      <c r="L562" s="88">
        <f>SUM(F562:K562)</f>
        <v>7739.36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7739.36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7739.36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3616.11</v>
      </c>
      <c r="G571" s="89">
        <f t="shared" ref="G571:L571" si="46">G560+G565+G570</f>
        <v>1723.36</v>
      </c>
      <c r="H571" s="89">
        <f t="shared" si="46"/>
        <v>7739.36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13078.83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1678133</v>
      </c>
      <c r="I575" s="87">
        <f>SUM(F575:H575)</f>
        <v>1678133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223056.98</v>
      </c>
      <c r="G579" s="18"/>
      <c r="H579" s="18">
        <v>230912.17</v>
      </c>
      <c r="I579" s="87">
        <f t="shared" si="47"/>
        <v>453969.15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170284.49</v>
      </c>
      <c r="I582" s="87">
        <f t="shared" si="47"/>
        <v>170284.49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222922.9</v>
      </c>
      <c r="I583" s="87">
        <f t="shared" si="47"/>
        <v>222922.9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172611.04</v>
      </c>
      <c r="I591" s="18"/>
      <c r="J591" s="18"/>
      <c r="K591" s="104">
        <f t="shared" ref="K591:K597" si="48">SUM(H591:J591)</f>
        <v>172611.04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111001.59</v>
      </c>
      <c r="I592" s="18"/>
      <c r="J592" s="18">
        <v>62038.92</v>
      </c>
      <c r="K592" s="104">
        <f t="shared" si="48"/>
        <v>173040.51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2649.12</v>
      </c>
      <c r="I594" s="18"/>
      <c r="J594" s="18"/>
      <c r="K594" s="104">
        <f t="shared" si="48"/>
        <v>2649.12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10049.14</v>
      </c>
      <c r="I595" s="18"/>
      <c r="J595" s="18"/>
      <c r="K595" s="104">
        <f t="shared" si="48"/>
        <v>10049.14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296310.89</v>
      </c>
      <c r="I598" s="108">
        <f>SUM(I591:I597)</f>
        <v>0</v>
      </c>
      <c r="J598" s="108">
        <f>SUM(J591:J597)</f>
        <v>62038.92</v>
      </c>
      <c r="K598" s="108">
        <f>SUM(K591:K597)</f>
        <v>358349.81000000006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77685.87</v>
      </c>
      <c r="I604" s="18"/>
      <c r="J604" s="18"/>
      <c r="K604" s="104">
        <f>SUM(H604:J604)</f>
        <v>77685.87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77685.87</v>
      </c>
      <c r="I605" s="108">
        <f>SUM(I602:I604)</f>
        <v>0</v>
      </c>
      <c r="J605" s="108">
        <f>SUM(J602:J604)</f>
        <v>0</v>
      </c>
      <c r="K605" s="108">
        <f>SUM(K602:K604)</f>
        <v>77685.87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961706.84</v>
      </c>
      <c r="H617" s="109">
        <f>SUM(F52)</f>
        <v>961706.84000000008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14018.5</v>
      </c>
      <c r="H618" s="109">
        <f>SUM(G52)</f>
        <v>14018.5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27532.91</v>
      </c>
      <c r="H619" s="109">
        <f>SUM(H52)</f>
        <v>27532.91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117577.73000000001</v>
      </c>
      <c r="H621" s="109">
        <f>SUM(J52)</f>
        <v>117577.73000000001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315346.19</v>
      </c>
      <c r="H622" s="109">
        <f>F476</f>
        <v>315346.19000000134</v>
      </c>
      <c r="I622" s="121" t="s">
        <v>101</v>
      </c>
      <c r="J622" s="109">
        <f t="shared" ref="J622:J655" si="50">G622-H622</f>
        <v>-1.3387762010097504E-9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117577.73000000001</v>
      </c>
      <c r="H626" s="109">
        <f>J476</f>
        <v>117577.73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9138236.8000000007</v>
      </c>
      <c r="H627" s="104">
        <f>SUM(F468)</f>
        <v>9138236.8000000007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191351.31</v>
      </c>
      <c r="H628" s="104">
        <f>SUM(G468)</f>
        <v>191351.31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152247.17000000001</v>
      </c>
      <c r="H629" s="104">
        <f>SUM(H468)</f>
        <v>152247.17000000001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8483.3299999999981</v>
      </c>
      <c r="H631" s="104">
        <f>SUM(J468)</f>
        <v>8483.33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9012261.6199999992</v>
      </c>
      <c r="H632" s="104">
        <f>SUM(F472)</f>
        <v>9012261.6199999992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152247.17000000001</v>
      </c>
      <c r="H633" s="104">
        <f>SUM(H472)</f>
        <v>152247.17000000001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97443.14</v>
      </c>
      <c r="H634" s="104">
        <f>I369</f>
        <v>97443.14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191351.31</v>
      </c>
      <c r="H635" s="104">
        <f>SUM(G472)</f>
        <v>191351.31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8483.33</v>
      </c>
      <c r="H637" s="164">
        <f>SUM(J468)</f>
        <v>8483.33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5547.35</v>
      </c>
      <c r="H639" s="104">
        <f>SUM(F461)</f>
        <v>5547.35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112030.38</v>
      </c>
      <c r="H640" s="104">
        <f>SUM(G461)</f>
        <v>112030.38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117577.73000000001</v>
      </c>
      <c r="H642" s="104">
        <f>SUM(I461)</f>
        <v>117577.73000000001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36047.919999999998</v>
      </c>
      <c r="H644" s="104">
        <f>H408</f>
        <v>36047.920000000006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8483.3299999999981</v>
      </c>
      <c r="H646" s="104">
        <f>L408</f>
        <v>8483.33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358349.81000000006</v>
      </c>
      <c r="H647" s="104">
        <f>L208+L226+L244</f>
        <v>358349.81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77685.87</v>
      </c>
      <c r="H648" s="104">
        <f>(J257+J338)-(J255+J336)</f>
        <v>77685.87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296310.89</v>
      </c>
      <c r="H649" s="104">
        <f>H598</f>
        <v>296310.89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62038.92</v>
      </c>
      <c r="H651" s="104">
        <f>J598</f>
        <v>62038.92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27992.42</v>
      </c>
      <c r="H652" s="104">
        <f>K263+K345</f>
        <v>27992.42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6775283.5099999998</v>
      </c>
      <c r="G660" s="19">
        <f>(L229+L309+L359)</f>
        <v>0</v>
      </c>
      <c r="H660" s="19">
        <f>(L247+L328+L360)</f>
        <v>2532561.7199999997</v>
      </c>
      <c r="I660" s="19">
        <f>SUM(F660:H660)</f>
        <v>9307845.2300000004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58670.74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58670.74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296310.89</v>
      </c>
      <c r="G662" s="19">
        <f>(L226+L306)-(J226+J306)</f>
        <v>0</v>
      </c>
      <c r="H662" s="19">
        <f>(L244+L325)-(J244+J325)</f>
        <v>62038.92</v>
      </c>
      <c r="I662" s="19">
        <f>SUM(F662:H662)</f>
        <v>358349.81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300742.84999999998</v>
      </c>
      <c r="G663" s="199">
        <f>SUM(G575:G587)+SUM(I602:I604)+L612</f>
        <v>0</v>
      </c>
      <c r="H663" s="199">
        <f>SUM(H575:H587)+SUM(J602:J604)+L613</f>
        <v>2302252.56</v>
      </c>
      <c r="I663" s="19">
        <f>SUM(F663:H663)</f>
        <v>2602995.41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6119559.0299999993</v>
      </c>
      <c r="G664" s="19">
        <f>G660-SUM(G661:G663)</f>
        <v>0</v>
      </c>
      <c r="H664" s="19">
        <f>H660-SUM(H661:H663)</f>
        <v>168270.23999999976</v>
      </c>
      <c r="I664" s="19">
        <f>I660-SUM(I661:I663)</f>
        <v>6287829.2700000005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365.88</v>
      </c>
      <c r="G665" s="248"/>
      <c r="H665" s="248"/>
      <c r="I665" s="19">
        <f>SUM(F665:H665)</f>
        <v>365.88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16725.59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17185.5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-168270.24</v>
      </c>
      <c r="I669" s="19">
        <f>SUM(F669:H669)</f>
        <v>-168270.24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16725.59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16725.59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2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ALLENSTOWN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1794193.95</v>
      </c>
      <c r="C9" s="229">
        <f>'DOE25'!G197+'DOE25'!G215+'DOE25'!G233+'DOE25'!G276+'DOE25'!G295+'DOE25'!G314</f>
        <v>811078.97</v>
      </c>
    </row>
    <row r="10" spans="1:3" x14ac:dyDescent="0.2">
      <c r="A10" t="s">
        <v>779</v>
      </c>
      <c r="B10" s="240">
        <v>1754610.41</v>
      </c>
      <c r="C10" s="240">
        <v>793235.23</v>
      </c>
    </row>
    <row r="11" spans="1:3" x14ac:dyDescent="0.2">
      <c r="A11" t="s">
        <v>780</v>
      </c>
      <c r="B11" s="240">
        <v>8131.18</v>
      </c>
      <c r="C11" s="240">
        <v>3649.86</v>
      </c>
    </row>
    <row r="12" spans="1:3" x14ac:dyDescent="0.2">
      <c r="A12" t="s">
        <v>781</v>
      </c>
      <c r="B12" s="240">
        <v>31452.36</v>
      </c>
      <c r="C12" s="240">
        <v>14193.88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1794193.95</v>
      </c>
      <c r="C13" s="231">
        <f>SUM(C10:C12)</f>
        <v>811078.97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718602.61</v>
      </c>
      <c r="C18" s="229">
        <f>'DOE25'!G198+'DOE25'!G216+'DOE25'!G234+'DOE25'!G277+'DOE25'!G296+'DOE25'!G315</f>
        <v>342508.53</v>
      </c>
    </row>
    <row r="19" spans="1:3" x14ac:dyDescent="0.2">
      <c r="A19" t="s">
        <v>779</v>
      </c>
      <c r="B19" s="240">
        <v>392248</v>
      </c>
      <c r="C19" s="240">
        <v>187009.66</v>
      </c>
    </row>
    <row r="20" spans="1:3" x14ac:dyDescent="0.2">
      <c r="A20" t="s">
        <v>780</v>
      </c>
      <c r="B20" s="240">
        <v>227504.02</v>
      </c>
      <c r="C20" s="240">
        <v>108575.2</v>
      </c>
    </row>
    <row r="21" spans="1:3" x14ac:dyDescent="0.2">
      <c r="A21" t="s">
        <v>781</v>
      </c>
      <c r="B21" s="240">
        <v>98850.59</v>
      </c>
      <c r="C21" s="240">
        <v>46923.67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718602.61</v>
      </c>
      <c r="C22" s="231">
        <f>SUM(C19:C21)</f>
        <v>342508.52999999997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23225</v>
      </c>
      <c r="C36" s="235">
        <f>'DOE25'!G200+'DOE25'!G218+'DOE25'!G236+'DOE25'!G279+'DOE25'!G298+'DOE25'!G317</f>
        <v>10328.27</v>
      </c>
    </row>
    <row r="37" spans="1:3" x14ac:dyDescent="0.2">
      <c r="A37" t="s">
        <v>779</v>
      </c>
      <c r="B37" s="240">
        <v>23225</v>
      </c>
      <c r="C37" s="240">
        <v>10328.27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23225</v>
      </c>
      <c r="C40" s="231">
        <f>SUM(C37:C39)</f>
        <v>10328.27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ALLENSTOWN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6312526.2999999998</v>
      </c>
      <c r="D5" s="20">
        <f>SUM('DOE25'!L197:L200)+SUM('DOE25'!L215:L218)+SUM('DOE25'!L233:L236)-F5-G5</f>
        <v>6244262.9900000002</v>
      </c>
      <c r="E5" s="243"/>
      <c r="F5" s="255">
        <f>SUM('DOE25'!J197:J200)+SUM('DOE25'!J215:J218)+SUM('DOE25'!J233:J236)</f>
        <v>67118.31</v>
      </c>
      <c r="G5" s="53">
        <f>SUM('DOE25'!K197:K200)+SUM('DOE25'!K215:K218)+SUM('DOE25'!K233:K236)</f>
        <v>1145</v>
      </c>
      <c r="H5" s="259"/>
    </row>
    <row r="6" spans="1:9" x14ac:dyDescent="0.2">
      <c r="A6" s="32">
        <v>2100</v>
      </c>
      <c r="B6" t="s">
        <v>801</v>
      </c>
      <c r="C6" s="245">
        <f t="shared" si="0"/>
        <v>947645.23</v>
      </c>
      <c r="D6" s="20">
        <f>'DOE25'!L202+'DOE25'!L220+'DOE25'!L238-F6-G6</f>
        <v>945043.35</v>
      </c>
      <c r="E6" s="243"/>
      <c r="F6" s="255">
        <f>'DOE25'!J202+'DOE25'!J220+'DOE25'!J238</f>
        <v>1687.92</v>
      </c>
      <c r="G6" s="53">
        <f>'DOE25'!K202+'DOE25'!K220+'DOE25'!K238</f>
        <v>913.96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127206.39999999999</v>
      </c>
      <c r="D7" s="20">
        <f>'DOE25'!L203+'DOE25'!L221+'DOE25'!L239-F7-G7</f>
        <v>126316.4</v>
      </c>
      <c r="E7" s="243"/>
      <c r="F7" s="255">
        <f>'DOE25'!J203+'DOE25'!J221+'DOE25'!J239</f>
        <v>720</v>
      </c>
      <c r="G7" s="53">
        <f>'DOE25'!K203+'DOE25'!K221+'DOE25'!K239</f>
        <v>170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140702.47999999998</v>
      </c>
      <c r="D8" s="243"/>
      <c r="E8" s="20">
        <f>'DOE25'!L204+'DOE25'!L222+'DOE25'!L240-F8-G8-D9-D11</f>
        <v>135264.41999999998</v>
      </c>
      <c r="F8" s="255">
        <f>'DOE25'!J204+'DOE25'!J222+'DOE25'!J240</f>
        <v>0</v>
      </c>
      <c r="G8" s="53">
        <f>'DOE25'!K204+'DOE25'!K222+'DOE25'!K240</f>
        <v>5438.06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11606.73</v>
      </c>
      <c r="D9" s="244">
        <v>11606.73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6300</v>
      </c>
      <c r="D10" s="243"/>
      <c r="E10" s="244">
        <v>6300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50848.59</v>
      </c>
      <c r="D11" s="244">
        <v>50848.59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431512.33999999997</v>
      </c>
      <c r="D12" s="20">
        <f>'DOE25'!L205+'DOE25'!L223+'DOE25'!L241-F12-G12</f>
        <v>426310.6</v>
      </c>
      <c r="E12" s="243"/>
      <c r="F12" s="255">
        <f>'DOE25'!J205+'DOE25'!J223+'DOE25'!J241</f>
        <v>3300.02</v>
      </c>
      <c r="G12" s="53">
        <f>'DOE25'!K205+'DOE25'!K223+'DOE25'!K241</f>
        <v>1901.72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583848.87</v>
      </c>
      <c r="D14" s="20">
        <f>'DOE25'!L207+'DOE25'!L225+'DOE25'!L243-F14-G14</f>
        <v>578989.25</v>
      </c>
      <c r="E14" s="243"/>
      <c r="F14" s="255">
        <f>'DOE25'!J207+'DOE25'!J225+'DOE25'!J243</f>
        <v>4859.62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358349.81</v>
      </c>
      <c r="D15" s="20">
        <f>'DOE25'!L208+'DOE25'!L226+'DOE25'!L244-F15-G15</f>
        <v>358349.81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13293</v>
      </c>
      <c r="D22" s="243"/>
      <c r="E22" s="243"/>
      <c r="F22" s="255">
        <f>'DOE25'!L255+'DOE25'!L336</f>
        <v>13293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102541.98</v>
      </c>
      <c r="D29" s="20">
        <f>'DOE25'!L358+'DOE25'!L359+'DOE25'!L360-'DOE25'!I367-F29-G29</f>
        <v>102275.73</v>
      </c>
      <c r="E29" s="243"/>
      <c r="F29" s="255">
        <f>'DOE25'!J358+'DOE25'!J359+'DOE25'!J360</f>
        <v>0</v>
      </c>
      <c r="G29" s="53">
        <f>'DOE25'!K358+'DOE25'!K359+'DOE25'!K360</f>
        <v>266.25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152247.17000000001</v>
      </c>
      <c r="D31" s="20">
        <f>'DOE25'!L290+'DOE25'!L309+'DOE25'!L328+'DOE25'!L333+'DOE25'!L334+'DOE25'!L335-F31-G31</f>
        <v>150209.88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2037.29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8994213.3300000019</v>
      </c>
      <c r="E33" s="246">
        <f>SUM(E5:E31)</f>
        <v>141564.41999999998</v>
      </c>
      <c r="F33" s="246">
        <f>SUM(F5:F31)</f>
        <v>90978.87</v>
      </c>
      <c r="G33" s="246">
        <f>SUM(G5:G31)</f>
        <v>11872.279999999999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141564.41999999998</v>
      </c>
      <c r="E35" s="249"/>
    </row>
    <row r="36" spans="2:8" ht="12" thickTop="1" x14ac:dyDescent="0.2">
      <c r="B36" t="s">
        <v>815</v>
      </c>
      <c r="D36" s="20">
        <f>D33</f>
        <v>8994213.3300000019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878308.71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117577.73000000001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26854.35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56423.88</v>
      </c>
      <c r="D12" s="95">
        <f>'DOE25'!G13</f>
        <v>8857.31</v>
      </c>
      <c r="E12" s="95">
        <f>'DOE25'!H13</f>
        <v>27532.91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5161.1899999999996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119.9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961706.84</v>
      </c>
      <c r="D18" s="41">
        <f>SUM(D8:D17)</f>
        <v>14018.5</v>
      </c>
      <c r="E18" s="41">
        <f>SUM(E8:E17)</f>
        <v>27532.91</v>
      </c>
      <c r="F18" s="41">
        <f>SUM(F8:F17)</f>
        <v>0</v>
      </c>
      <c r="G18" s="41">
        <f>SUM(G8:G17)</f>
        <v>117577.73000000001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2474.13</v>
      </c>
      <c r="E21" s="95">
        <f>'DOE25'!H22</f>
        <v>24380.22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532315.92000000004</v>
      </c>
      <c r="D22" s="95">
        <f>'DOE25'!G23</f>
        <v>1544.37</v>
      </c>
      <c r="E22" s="95">
        <f>'DOE25'!H23</f>
        <v>3152.69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8071.34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105973.39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646360.65</v>
      </c>
      <c r="D31" s="41">
        <f>SUM(D21:D30)</f>
        <v>4018.5</v>
      </c>
      <c r="E31" s="41">
        <f>SUM(E21:E30)</f>
        <v>27532.91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82593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117577.73000000001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232753.19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315346.19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117577.73000000001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961706.84000000008</v>
      </c>
      <c r="D51" s="41">
        <f>D50+D31</f>
        <v>14018.5</v>
      </c>
      <c r="E51" s="41">
        <f>E50+E31</f>
        <v>27532.91</v>
      </c>
      <c r="F51" s="41">
        <f>F50+F31</f>
        <v>0</v>
      </c>
      <c r="G51" s="41">
        <f>G50+G31</f>
        <v>117577.73000000001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4000454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18531.84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36047.919999999998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56157.13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16174.37</v>
      </c>
      <c r="D61" s="95">
        <f>SUM('DOE25'!G98:G110)</f>
        <v>2513.61</v>
      </c>
      <c r="E61" s="95">
        <f>SUM('DOE25'!H98:H110)</f>
        <v>0</v>
      </c>
      <c r="F61" s="95">
        <f>SUM('DOE25'!I98:I110)</f>
        <v>0</v>
      </c>
      <c r="G61" s="95">
        <f>SUM('DOE25'!J98:J110)</f>
        <v>-27564.59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34706.21</v>
      </c>
      <c r="D62" s="130">
        <f>SUM(D57:D61)</f>
        <v>58670.74</v>
      </c>
      <c r="E62" s="130">
        <f>SUM(E57:E61)</f>
        <v>0</v>
      </c>
      <c r="F62" s="130">
        <f>SUM(F57:F61)</f>
        <v>0</v>
      </c>
      <c r="G62" s="130">
        <f>SUM(G57:G61)</f>
        <v>8483.3299999999981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4035160.21</v>
      </c>
      <c r="D63" s="22">
        <f>D56+D62</f>
        <v>58670.74</v>
      </c>
      <c r="E63" s="22">
        <f>E56+E62</f>
        <v>0</v>
      </c>
      <c r="F63" s="22">
        <f>F56+F62</f>
        <v>0</v>
      </c>
      <c r="G63" s="22">
        <f>G56+G62</f>
        <v>8483.3299999999981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4279210.7300000004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565133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4844343.7300000004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142615.20000000001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237.63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142615.20000000001</v>
      </c>
      <c r="D78" s="130">
        <f>SUM(D72:D77)</f>
        <v>237.63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4986958.9300000006</v>
      </c>
      <c r="D81" s="130">
        <f>SUM(D79:D80)+D78+D70</f>
        <v>237.63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116117.66</v>
      </c>
      <c r="D88" s="95">
        <f>SUM('DOE25'!G153:G161)</f>
        <v>104450.52</v>
      </c>
      <c r="E88" s="95">
        <f>SUM('DOE25'!H153:H161)</f>
        <v>152247.17000000001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116117.66</v>
      </c>
      <c r="D91" s="131">
        <f>SUM(D85:D90)</f>
        <v>104450.52</v>
      </c>
      <c r="E91" s="131">
        <f>SUM(E85:E90)</f>
        <v>152247.17000000001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27992.42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27992.42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9138236.8000000007</v>
      </c>
      <c r="D104" s="86">
        <f>D63+D81+D91+D103</f>
        <v>191351.31</v>
      </c>
      <c r="E104" s="86">
        <f>E63+E81+E91+E103</f>
        <v>152247.17000000001</v>
      </c>
      <c r="F104" s="86">
        <f>F63+F81+F91+F103</f>
        <v>0</v>
      </c>
      <c r="G104" s="86">
        <f>G63+G81+G103</f>
        <v>8483.3299999999981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4270647.33</v>
      </c>
      <c r="D109" s="24" t="s">
        <v>289</v>
      </c>
      <c r="E109" s="95">
        <f>('DOE25'!L276)+('DOE25'!L295)+('DOE25'!L314)</f>
        <v>124837.36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1998938.2000000002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42940.770000000004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6312526.2999999998</v>
      </c>
      <c r="D115" s="86">
        <f>SUM(D109:D114)</f>
        <v>0</v>
      </c>
      <c r="E115" s="86">
        <f>SUM(E109:E114)</f>
        <v>124837.36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947645.23</v>
      </c>
      <c r="D118" s="24" t="s">
        <v>289</v>
      </c>
      <c r="E118" s="95">
        <f>+('DOE25'!L281)+('DOE25'!L300)+('DOE25'!L319)</f>
        <v>778.8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127206.39999999999</v>
      </c>
      <c r="D119" s="24" t="s">
        <v>289</v>
      </c>
      <c r="E119" s="95">
        <f>+('DOE25'!L282)+('DOE25'!L301)+('DOE25'!L320)</f>
        <v>19061.849999999999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203157.8</v>
      </c>
      <c r="D120" s="24" t="s">
        <v>289</v>
      </c>
      <c r="E120" s="95">
        <f>+('DOE25'!L283)+('DOE25'!L302)+('DOE25'!L321)</f>
        <v>7569.16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431512.33999999997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583848.87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358349.81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191351.31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2651720.4500000002</v>
      </c>
      <c r="D128" s="86">
        <f>SUM(D118:D127)</f>
        <v>191351.31</v>
      </c>
      <c r="E128" s="86">
        <f>SUM(E118:E127)</f>
        <v>27409.809999999998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13293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27992.42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-1285.31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9768.64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-8483.33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6729.45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48014.869999999995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9012261.6199999992</v>
      </c>
      <c r="D145" s="86">
        <f>(D115+D128+D144)</f>
        <v>191351.31</v>
      </c>
      <c r="E145" s="86">
        <f>(E115+E128+E144)</f>
        <v>152247.16999999998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ALLENSTOWN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16726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16726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4395485</v>
      </c>
      <c r="D10" s="182">
        <f>ROUND((C10/$C$28)*100,1)</f>
        <v>47.5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1998938</v>
      </c>
      <c r="D11" s="182">
        <f>ROUND((C11/$C$28)*100,1)</f>
        <v>21.6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42941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948424</v>
      </c>
      <c r="D15" s="182">
        <f t="shared" ref="D15:D27" si="0">ROUND((C15/$C$28)*100,1)</f>
        <v>10.199999999999999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146268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210727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431512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583849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358350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6729.45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132680.26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9255903.709999999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13293</v>
      </c>
    </row>
    <row r="30" spans="1:4" x14ac:dyDescent="0.2">
      <c r="B30" s="187" t="s">
        <v>729</v>
      </c>
      <c r="C30" s="180">
        <f>SUM(C28:C29)</f>
        <v>9269196.709999999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4000454</v>
      </c>
      <c r="D35" s="182">
        <f t="shared" ref="D35:D40" si="1">ROUND((C35/$C$41)*100,1)</f>
        <v>42.5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43189.540000000037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4844344</v>
      </c>
      <c r="D37" s="182">
        <f t="shared" si="1"/>
        <v>51.5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142853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372815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9403655.5399999991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ALLENSTOWN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3</v>
      </c>
      <c r="C5" s="285" t="s">
        <v>912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9</v>
      </c>
      <c r="C6" s="285" t="s">
        <v>912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10</v>
      </c>
      <c r="C7" s="285" t="s">
        <v>912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16</v>
      </c>
      <c r="B8" s="219">
        <v>11</v>
      </c>
      <c r="C8" s="285" t="s">
        <v>912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16</v>
      </c>
      <c r="B9" s="219">
        <v>12</v>
      </c>
      <c r="C9" s="285" t="s">
        <v>912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2014-09-19T12:20:08Z</cp:lastPrinted>
  <dcterms:created xsi:type="dcterms:W3CDTF">1997-12-04T19:04:30Z</dcterms:created>
  <dcterms:modified xsi:type="dcterms:W3CDTF">2014-09-19T12:20:50Z</dcterms:modified>
</cp:coreProperties>
</file>