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0160" windowHeight="84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8" i="1" l="1"/>
  <c r="G521" i="1" l="1"/>
  <c r="F521" i="1"/>
  <c r="I197" i="1" l="1"/>
  <c r="F197" i="1"/>
  <c r="H582" i="1"/>
  <c r="J277" i="1" l="1"/>
  <c r="J276" i="1"/>
  <c r="I276" i="1"/>
  <c r="G276" i="1"/>
  <c r="F276" i="1"/>
  <c r="H392" i="1"/>
  <c r="F368" i="1"/>
  <c r="F358" i="1"/>
  <c r="I358" i="1"/>
  <c r="G358" i="1"/>
  <c r="G234" i="1" l="1"/>
  <c r="H155" i="1" l="1"/>
  <c r="H154" i="1"/>
  <c r="G158" i="1"/>
  <c r="G23" i="1" l="1"/>
  <c r="J179" i="1"/>
  <c r="F110" i="1"/>
  <c r="F28" i="1"/>
  <c r="F1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E119" i="2" s="1"/>
  <c r="L283" i="1"/>
  <c r="L284" i="1"/>
  <c r="L285" i="1"/>
  <c r="E122" i="2" s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E123" i="2" s="1"/>
  <c r="L325" i="1"/>
  <c r="L326" i="1"/>
  <c r="E125" i="2" s="1"/>
  <c r="L333" i="1"/>
  <c r="L334" i="1"/>
  <c r="L335" i="1"/>
  <c r="L260" i="1"/>
  <c r="L261" i="1"/>
  <c r="L341" i="1"/>
  <c r="C32" i="10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I147" i="1"/>
  <c r="I162" i="1"/>
  <c r="I169" i="1" s="1"/>
  <c r="C11" i="10"/>
  <c r="C12" i="10"/>
  <c r="C13" i="10"/>
  <c r="L250" i="1"/>
  <c r="C113" i="2" s="1"/>
  <c r="L332" i="1"/>
  <c r="E113" i="2" s="1"/>
  <c r="L254" i="1"/>
  <c r="C25" i="10"/>
  <c r="L268" i="1"/>
  <c r="L269" i="1"/>
  <c r="C143" i="2" s="1"/>
  <c r="L349" i="1"/>
  <c r="E142" i="2" s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C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C78" i="2" s="1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E114" i="2"/>
  <c r="D115" i="2"/>
  <c r="F115" i="2"/>
  <c r="G115" i="2"/>
  <c r="E120" i="2"/>
  <c r="C121" i="2"/>
  <c r="C122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F476" i="1" s="1"/>
  <c r="H622" i="1" s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H644" i="1"/>
  <c r="G645" i="1"/>
  <c r="G649" i="1"/>
  <c r="G650" i="1"/>
  <c r="G652" i="1"/>
  <c r="H652" i="1"/>
  <c r="G653" i="1"/>
  <c r="H653" i="1"/>
  <c r="G654" i="1"/>
  <c r="H654" i="1"/>
  <c r="H655" i="1"/>
  <c r="G164" i="2"/>
  <c r="C70" i="2"/>
  <c r="D17" i="13"/>
  <c r="C17" i="13" s="1"/>
  <c r="F78" i="2"/>
  <c r="F81" i="2" s="1"/>
  <c r="G156" i="2"/>
  <c r="G62" i="2"/>
  <c r="D19" i="13"/>
  <c r="C19" i="13" s="1"/>
  <c r="E78" i="2"/>
  <c r="J571" i="1"/>
  <c r="H169" i="1"/>
  <c r="J476" i="1"/>
  <c r="H626" i="1" s="1"/>
  <c r="J140" i="1"/>
  <c r="I552" i="1"/>
  <c r="F22" i="13"/>
  <c r="C22" i="13" s="1"/>
  <c r="J545" i="1"/>
  <c r="I571" i="1"/>
  <c r="K551" i="1"/>
  <c r="A13" i="12" l="1"/>
  <c r="A40" i="12"/>
  <c r="L614" i="1"/>
  <c r="K605" i="1"/>
  <c r="G648" i="1" s="1"/>
  <c r="K598" i="1"/>
  <c r="G647" i="1" s="1"/>
  <c r="J649" i="1"/>
  <c r="H571" i="1"/>
  <c r="F571" i="1"/>
  <c r="L570" i="1"/>
  <c r="L565" i="1"/>
  <c r="K571" i="1"/>
  <c r="L560" i="1"/>
  <c r="L544" i="1"/>
  <c r="L539" i="1"/>
  <c r="H552" i="1"/>
  <c r="L534" i="1"/>
  <c r="K550" i="1"/>
  <c r="L529" i="1"/>
  <c r="K545" i="1"/>
  <c r="I545" i="1"/>
  <c r="G545" i="1"/>
  <c r="K549" i="1"/>
  <c r="H545" i="1"/>
  <c r="F552" i="1"/>
  <c r="L524" i="1"/>
  <c r="K503" i="1"/>
  <c r="L290" i="1"/>
  <c r="G476" i="1"/>
  <c r="H623" i="1" s="1"/>
  <c r="J623" i="1" s="1"/>
  <c r="I476" i="1"/>
  <c r="H625" i="1" s="1"/>
  <c r="J625" i="1" s="1"/>
  <c r="I460" i="1"/>
  <c r="I452" i="1"/>
  <c r="J640" i="1"/>
  <c r="I446" i="1"/>
  <c r="G642" i="1" s="1"/>
  <c r="J639" i="1"/>
  <c r="L433" i="1"/>
  <c r="L419" i="1"/>
  <c r="L427" i="1"/>
  <c r="J644" i="1"/>
  <c r="L401" i="1"/>
  <c r="C139" i="2" s="1"/>
  <c r="L393" i="1"/>
  <c r="C138" i="2" s="1"/>
  <c r="J643" i="1"/>
  <c r="F130" i="2"/>
  <c r="F144" i="2" s="1"/>
  <c r="F145" i="2" s="1"/>
  <c r="L382" i="1"/>
  <c r="G636" i="1" s="1"/>
  <c r="J636" i="1" s="1"/>
  <c r="I369" i="1"/>
  <c r="H634" i="1" s="1"/>
  <c r="J634" i="1"/>
  <c r="F661" i="1"/>
  <c r="L362" i="1"/>
  <c r="C27" i="10" s="1"/>
  <c r="G661" i="1"/>
  <c r="D127" i="2"/>
  <c r="D128" i="2" s="1"/>
  <c r="D145" i="2" s="1"/>
  <c r="H661" i="1"/>
  <c r="I661" i="1" s="1"/>
  <c r="D29" i="13"/>
  <c r="C29" i="13" s="1"/>
  <c r="L351" i="1"/>
  <c r="H25" i="13"/>
  <c r="H33" i="13" s="1"/>
  <c r="E131" i="2"/>
  <c r="E121" i="2"/>
  <c r="C16" i="10"/>
  <c r="H662" i="1"/>
  <c r="E118" i="2"/>
  <c r="H338" i="1"/>
  <c r="H352" i="1" s="1"/>
  <c r="L328" i="1"/>
  <c r="F338" i="1"/>
  <c r="F352" i="1" s="1"/>
  <c r="L309" i="1"/>
  <c r="C18" i="10"/>
  <c r="E115" i="2"/>
  <c r="K338" i="1"/>
  <c r="K352" i="1" s="1"/>
  <c r="J338" i="1"/>
  <c r="J352" i="1" s="1"/>
  <c r="G338" i="1"/>
  <c r="G352" i="1" s="1"/>
  <c r="C26" i="10"/>
  <c r="C25" i="13"/>
  <c r="C29" i="10"/>
  <c r="D18" i="13"/>
  <c r="C18" i="13" s="1"/>
  <c r="L256" i="1"/>
  <c r="G651" i="1"/>
  <c r="J651" i="1" s="1"/>
  <c r="C124" i="2"/>
  <c r="H647" i="1"/>
  <c r="C19" i="10"/>
  <c r="C120" i="2"/>
  <c r="D12" i="13"/>
  <c r="C12" i="13" s="1"/>
  <c r="C15" i="10"/>
  <c r="L247" i="1"/>
  <c r="J257" i="1"/>
  <c r="J271" i="1" s="1"/>
  <c r="C20" i="10"/>
  <c r="E13" i="13"/>
  <c r="C13" i="13" s="1"/>
  <c r="C119" i="2"/>
  <c r="C118" i="2"/>
  <c r="C112" i="2"/>
  <c r="C110" i="2"/>
  <c r="L229" i="1"/>
  <c r="K257" i="1"/>
  <c r="K271" i="1" s="1"/>
  <c r="I257" i="1"/>
  <c r="I271" i="1" s="1"/>
  <c r="H257" i="1"/>
  <c r="H271" i="1" s="1"/>
  <c r="G257" i="1"/>
  <c r="G271" i="1" s="1"/>
  <c r="C10" i="10"/>
  <c r="D6" i="13"/>
  <c r="C6" i="13" s="1"/>
  <c r="C109" i="2"/>
  <c r="D15" i="13"/>
  <c r="C15" i="13" s="1"/>
  <c r="F662" i="1"/>
  <c r="C21" i="10"/>
  <c r="E8" i="13"/>
  <c r="C8" i="13" s="1"/>
  <c r="D7" i="13"/>
  <c r="C7" i="13" s="1"/>
  <c r="D14" i="13"/>
  <c r="C14" i="13" s="1"/>
  <c r="C123" i="2"/>
  <c r="C17" i="10"/>
  <c r="A31" i="12"/>
  <c r="E16" i="13"/>
  <c r="C125" i="2"/>
  <c r="J647" i="1"/>
  <c r="L211" i="1"/>
  <c r="L257" i="1" s="1"/>
  <c r="L271" i="1" s="1"/>
  <c r="G632" i="1" s="1"/>
  <c r="J632" i="1" s="1"/>
  <c r="C111" i="2"/>
  <c r="D5" i="13"/>
  <c r="C5" i="13" s="1"/>
  <c r="G625" i="1"/>
  <c r="F18" i="2"/>
  <c r="E103" i="2"/>
  <c r="E81" i="2"/>
  <c r="E62" i="2"/>
  <c r="H112" i="1"/>
  <c r="H193" i="1" s="1"/>
  <c r="G629" i="1" s="1"/>
  <c r="J629" i="1" s="1"/>
  <c r="E63" i="2"/>
  <c r="C35" i="10"/>
  <c r="C36" i="10" s="1"/>
  <c r="E31" i="2"/>
  <c r="D91" i="2"/>
  <c r="D62" i="2"/>
  <c r="D63" i="2"/>
  <c r="D50" i="2"/>
  <c r="D31" i="2"/>
  <c r="C18" i="2"/>
  <c r="D18" i="2"/>
  <c r="J645" i="1"/>
  <c r="J655" i="1"/>
  <c r="G192" i="1"/>
  <c r="F192" i="1"/>
  <c r="C91" i="2"/>
  <c r="F169" i="1"/>
  <c r="F112" i="1"/>
  <c r="C62" i="2"/>
  <c r="C63" i="2" s="1"/>
  <c r="J622" i="1"/>
  <c r="J617" i="1"/>
  <c r="J641" i="1"/>
  <c r="C81" i="2"/>
  <c r="G624" i="1"/>
  <c r="J624" i="1" s="1"/>
  <c r="K50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L545" i="1" l="1"/>
  <c r="E33" i="13"/>
  <c r="D35" i="13" s="1"/>
  <c r="K552" i="1"/>
  <c r="I461" i="1"/>
  <c r="H642" i="1" s="1"/>
  <c r="J642" i="1" s="1"/>
  <c r="L434" i="1"/>
  <c r="G638" i="1" s="1"/>
  <c r="J638" i="1" s="1"/>
  <c r="L408" i="1"/>
  <c r="G637" i="1" s="1"/>
  <c r="J637" i="1" s="1"/>
  <c r="C141" i="2"/>
  <c r="C144" i="2" s="1"/>
  <c r="H646" i="1"/>
  <c r="G635" i="1"/>
  <c r="J635" i="1" s="1"/>
  <c r="L338" i="1"/>
  <c r="L352" i="1" s="1"/>
  <c r="G633" i="1" s="1"/>
  <c r="J633" i="1" s="1"/>
  <c r="I662" i="1"/>
  <c r="E128" i="2"/>
  <c r="E145" i="2" s="1"/>
  <c r="H660" i="1"/>
  <c r="H664" i="1" s="1"/>
  <c r="H667" i="1" s="1"/>
  <c r="G660" i="1"/>
  <c r="G664" i="1" s="1"/>
  <c r="G672" i="1" s="1"/>
  <c r="C5" i="10" s="1"/>
  <c r="D31" i="13"/>
  <c r="C31" i="13" s="1"/>
  <c r="H648" i="1"/>
  <c r="J648" i="1" s="1"/>
  <c r="C128" i="2"/>
  <c r="C115" i="2"/>
  <c r="C28" i="10"/>
  <c r="D24" i="10" s="1"/>
  <c r="C16" i="13"/>
  <c r="F660" i="1"/>
  <c r="F104" i="2"/>
  <c r="E104" i="2"/>
  <c r="D51" i="2"/>
  <c r="G104" i="2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H672" i="1"/>
  <c r="C6" i="10" s="1"/>
  <c r="D33" i="13"/>
  <c r="D36" i="13" s="1"/>
  <c r="C145" i="2"/>
  <c r="D23" i="10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I660" i="1"/>
  <c r="I664" i="1" s="1"/>
  <c r="I672" i="1" s="1"/>
  <c r="C7" i="10" s="1"/>
  <c r="F664" i="1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<sst xmlns="http://schemas.openxmlformats.org/spreadsheetml/2006/main" count="3956" uniqueCount="913">
  <si>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</si>
  <si>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</si>
  <si>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</si>
  <si>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</si>
  <si>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</si>
  <si>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</si>
  <si>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</si>
  <si>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</si>
  <si>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</si>
  <si>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</si>
  <si>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</si>
  <si>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</si>
  <si>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</si>
  <si>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</si>
  <si>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</si>
  <si>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</si>
  <si>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</si>
  <si>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</si>
  <si>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</si>
  <si>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</si>
  <si>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</si>
  <si>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</si>
  <si>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</si>
  <si>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</si>
  <si>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</si>
  <si>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</si>
  <si>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</si>
  <si>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</si>
  <si>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</si>
  <si>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</si>
  <si>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</si>
  <si>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</si>
  <si>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</si>
  <si>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</si>
  <si>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</si>
  <si>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</si>
  <si>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</si>
  <si>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</si>
  <si>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</si>
  <si>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</si>
  <si>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</si>
  <si>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</si>
  <si>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</si>
  <si>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</si>
  <si>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</si>
  <si>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</si>
  <si>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</si>
  <si>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</si>
  <si>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</si>
  <si>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</si>
  <si>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</si>
  <si>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</si>
  <si>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</si>
  <si>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</si>
  <si>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</si>
  <si>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</si>
  <si>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</si>
  <si>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</si>
  <si>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</si>
  <si>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</si>
  <si>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</si>
  <si>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</si>
  <si>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</si>
  <si>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</si>
  <si>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</si>
  <si>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</si>
  <si>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</si>
  <si>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</si>
  <si>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</si>
  <si>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</si>
  <si>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</si>
  <si>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</si>
  <si>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</si>
  <si>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</si>
  <si>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</si>
  <si>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</si>
  <si>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</si>
  <si>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</si>
  <si>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</si>
  <si>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</si>
  <si>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</si>
  <si>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</si>
  <si>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</si>
  <si>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</si>
  <si>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</si>
  <si>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</si>
  <si>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</si>
  <si>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</si>
  <si>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</si>
  <si>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</si>
  <si>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</si>
  <si>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</si>
  <si>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</si>
  <si>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</si>
  <si>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</si>
  <si>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</si>
  <si>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</si>
  <si>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</si>
  <si>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</si>
  <si>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</si>
  <si>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</si>
  <si>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</si>
  <si>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</si>
  <si>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</si>
  <si>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</si>
  <si>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</si>
  <si>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</si>
  <si>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</si>
  <si>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</si>
  <si>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</si>
  <si>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</si>
  <si>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</si>
  <si>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</si>
  <si>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</si>
  <si>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</si>
  <si>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</si>
  <si>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</si>
  <si>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</si>
  <si>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</si>
  <si>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</si>
  <si>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</si>
  <si>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</si>
  <si>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</si>
  <si>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</si>
  <si>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</si>
  <si>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</si>
  <si>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</si>
  <si>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</si>
  <si>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</si>
  <si>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</si>
  <si>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</si>
  <si>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</si>
  <si>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</si>
  <si>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</si>
  <si>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</si>
  <si>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</si>
  <si>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</si>
  <si>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</si>
  <si>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</si>
  <si>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</si>
  <si>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</si>
  <si>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</si>
  <si>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</si>
  <si>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</si>
  <si>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</si>
  <si>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</si>
  <si>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</si>
  <si>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</si>
  <si>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</si>
  <si>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</si>
  <si>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</si>
  <si>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</si>
  <si>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</si>
  <si>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</si>
  <si>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</si>
  <si>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</si>
  <si>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</si>
  <si>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</si>
  <si>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</si>
  <si>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</si>
  <si>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</si>
  <si>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</si>
  <si>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</si>
  <si>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</si>
  <si>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</si>
  <si>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</si>
  <si>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</si>
  <si>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</si>
  <si>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</si>
  <si>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</si>
  <si>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</si>
  <si>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</si>
  <si>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</si>
  <si>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</si>
  <si>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</si>
  <si>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</si>
  <si>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</si>
  <si>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</si>
  <si>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</si>
  <si>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</si>
  <si>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</si>
  <si>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</si>
  <si>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</si>
  <si>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</si>
  <si>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</si>
  <si>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</si>
  <si>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</si>
  <si>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</si>
  <si>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</si>
  <si>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</si>
  <si>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</si>
  <si>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</si>
  <si>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</si>
  <si>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</si>
  <si>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</si>
  <si>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</si>
  <si>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</si>
  <si>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</si>
  <si>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</si>
  <si>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</si>
  <si>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</si>
  <si>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</si>
  <si>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</si>
  <si>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</si>
  <si>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</si>
  <si>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</si>
  <si>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</si>
  <si>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</si>
  <si>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</si>
  <si>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</si>
  <si>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</si>
  <si>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</si>
  <si>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</si>
  <si>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</si>
  <si>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</si>
  <si>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</si>
  <si>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</si>
  <si>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</si>
  <si>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</si>
  <si>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</si>
  <si>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</si>
  <si>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</si>
  <si>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</si>
  <si>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</si>
  <si>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</si>
  <si>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</si>
  <si>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</si>
  <si>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</si>
  <si>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</si>
  <si>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</si>
  <si>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</si>
  <si>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</si>
  <si>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</si>
  <si>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</si>
  <si>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</si>
  <si>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</si>
  <si>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</si>
  <si>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</si>
  <si>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</si>
  <si>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</si>
  <si>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</si>
  <si>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</si>
  <si>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</si>
  <si>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</si>
  <si>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</si>
  <si>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</si>
  <si>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</si>
  <si>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</si>
  <si>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</si>
  <si>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</si>
  <si>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</si>
  <si>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</si>
  <si>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</si>
  <si>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</si>
  <si>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</si>
  <si>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</si>
  <si>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</si>
  <si>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</si>
  <si>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</si>
  <si>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</si>
  <si>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</si>
  <si>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</si>
  <si>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</si>
  <si>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</si>
  <si>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</si>
  <si>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</si>
  <si>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</si>
  <si>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</si>
  <si>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</si>
  <si>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</si>
  <si>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</si>
  <si>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</si>
  <si>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</si>
  <si>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</si>
  <si>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</si>
  <si>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</si>
  <si>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</si>
  <si>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</si>
  <si>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</si>
  <si>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</si>
  <si>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</si>
  <si>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</si>
  <si>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</si>
  <si>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</si>
  <si>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</si>
  <si>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</si>
  <si>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</si>
  <si>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</si>
  <si>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</si>
  <si>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</si>
  <si>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</si>
  <si>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</si>
  <si>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</si>
  <si>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</si>
  <si>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</si>
  <si>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</si>
  <si>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</si>
  <si>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</si>
  <si>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</si>
  <si>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</si>
  <si>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</si>
  <si>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</si>
  <si>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</si>
  <si>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</si>
  <si>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</si>
  <si>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</si>
  <si>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</si>
  <si>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</si>
  <si>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</si>
  <si>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</si>
  <si>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</si>
  <si>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</si>
  <si>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</si>
  <si>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</si>
  <si>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</si>
  <si>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</si>
  <si>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</si>
  <si>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</si>
  <si>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</si>
  <si>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</si>
  <si>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</si>
  <si>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</si>
  <si>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</si>
  <si>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</si>
  <si>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</si>
  <si>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</si>
  <si>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</si>
  <si>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</si>
  <si>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</si>
  <si>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</si>
  <si>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</si>
  <si>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</si>
  <si>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</si>
  <si>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</si>
  <si>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</si>
  <si>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</si>
  <si>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</si>
  <si>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</si>
  <si>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</si>
  <si>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</si>
  <si>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</si>
  <si>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</si>
  <si>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</si>
  <si>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</si>
  <si>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</si>
  <si>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</si>
  <si>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</si>
  <si>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</si>
  <si>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</si>
  <si>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</si>
  <si>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</si>
  <si>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</si>
  <si>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</si>
  <si>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</si>
  <si>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</si>
  <si>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</si>
  <si>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</si>
  <si>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</si>
  <si>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</si>
  <si>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</si>
  <si>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</si>
  <si>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</si>
  <si>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</si>
  <si>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</si>
  <si>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</si>
  <si>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</si>
  <si>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</si>
  <si>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</si>
  <si>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</si>
  <si>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</si>
  <si>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</si>
  <si>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</si>
  <si>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</si>
  <si>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</si>
  <si>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</si>
  <si>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</si>
  <si>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</si>
  <si>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</si>
  <si>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</si>
  <si>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</si>
  <si>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</si>
  <si>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</si>
  <si>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</si>
  <si>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</si>
  <si>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</si>
  <si>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</si>
  <si>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</si>
  <si>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</si>
  <si>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</si>
  <si>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</si>
  <si>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</si>
  <si>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</si>
  <si>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</si>
  <si>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</si>
  <si>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</si>
  <si>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</si>
  <si>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</si>
  <si>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</si>
  <si>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</si>
  <si>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</si>
  <si>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</si>
  <si>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</si>
  <si>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</si>
  <si>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</si>
  <si>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</si>
  <si>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</si>
  <si>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</si>
  <si>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</si>
  <si>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</si>
  <si>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</si>
  <si>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</si>
  <si>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</si>
  <si>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</si>
  <si>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</si>
  <si>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</si>
  <si>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</si>
  <si>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</si>
  <si>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</si>
  <si>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</si>
  <si>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</si>
  <si>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</si>
  <si>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</si>
  <si>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</si>
  <si>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</si>
  <si>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</si>
  <si>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</si>
  <si>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</si>
  <si>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</si>
  <si>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</si>
  <si>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</si>
  <si>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</si>
  <si>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</si>
  <si>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</si>
  <si>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</si>
  <si>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</si>
  <si>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</si>
  <si>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</si>
  <si>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</si>
  <si>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</si>
  <si>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</si>
  <si>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</si>
  <si>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</si>
  <si>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</si>
  <si>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</si>
  <si>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</si>
  <si>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</si>
  <si>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</si>
  <si>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</si>
  <si>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</si>
  <si>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</si>
  <si>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</si>
  <si>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</si>
  <si>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</si>
  <si>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</si>
  <si>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</si>
  <si>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</si>
  <si>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</si>
  <si>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</si>
  <si>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</si>
  <si>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</si>
  <si>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</si>
  <si>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</si>
  <si>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</si>
  <si>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</si>
  <si>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</si>
  <si>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</si>
  <si>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</si>
  <si>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</si>
  <si>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</si>
  <si>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</si>
  <si>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</si>
  <si>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</si>
  <si>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</si>
  <si>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</si>
  <si>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</si>
  <si>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</si>
  <si>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</si>
  <si>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</si>
  <si>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</si>
  <si>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</si>
  <si>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</si>
  <si>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</si>
  <si>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</si>
  <si>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</si>
  <si>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</si>
  <si>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</si>
  <si>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</si>
  <si>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</si>
  <si>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</si>
  <si>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</si>
  <si>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</si>
  <si>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</si>
  <si>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</si>
  <si>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</si>
  <si>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</si>
  <si>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</si>
  <si>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</si>
  <si>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</si>
  <si>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</si>
  <si>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</si>
  <si>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</si>
  <si>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</si>
  <si>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</si>
  <si>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</si>
  <si>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</si>
  <si>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</si>
  <si>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</si>
  <si>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</si>
  <si>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</si>
  <si>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</si>
  <si>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</si>
  <si>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</si>
  <si>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</si>
  <si>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</si>
  <si>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</si>
  <si>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</si>
  <si>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</si>
  <si>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</si>
  <si>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</si>
  <si>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</si>
  <si>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</si>
  <si>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</si>
  <si>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</si>
  <si>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</si>
  <si>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</si>
  <si>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</si>
  <si>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</si>
  <si>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</si>
  <si>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</si>
  <si>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</si>
  <si>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</si>
  <si>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</si>
  <si>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</si>
  <si>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</si>
  <si>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</si>
  <si>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</si>
  <si>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</si>
  <si>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</si>
  <si>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</si>
  <si>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</si>
  <si>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</si>
  <si>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</si>
  <si>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</si>
  <si>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</si>
  <si>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</si>
  <si>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</si>
  <si>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</si>
  <si>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</si>
  <si>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</si>
  <si>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</si>
  <si>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</si>
  <si>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</si>
  <si>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</si>
  <si>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</si>
  <si>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</si>
  <si>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</si>
  <si>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</si>
  <si>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</si>
  <si>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</si>
  <si>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</si>
  <si>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</si>
  <si>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</si>
  <si>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</si>
  <si>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</si>
  <si>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</si>
  <si>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</si>
  <si>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</si>
  <si>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</si>
  <si>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</si>
  <si>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</si>
  <si>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</si>
  <si>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</si>
  <si>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</si>
  <si>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</si>
  <si>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</si>
  <si>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</si>
  <si>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</si>
  <si>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</si>
  <si>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</si>
  <si>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</si>
  <si>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</si>
  <si>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</si>
  <si>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</si>
  <si>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</si>
  <si>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</si>
  <si>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</si>
  <si>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</si>
  <si>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</si>
  <si>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</si>
  <si>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</si>
  <si>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</si>
  <si>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</si>
  <si>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</si>
  <si>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</si>
  <si>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</si>
  <si>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</si>
  <si>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</si>
  <si>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</si>
  <si>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</si>
  <si>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</si>
  <si>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</si>
  <si>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</si>
  <si>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</si>
  <si>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</si>
  <si>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</si>
  <si>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</si>
  <si>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</si>
  <si>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</si>
  <si>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</si>
  <si>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</si>
  <si>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</si>
  <si>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</si>
  <si>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</si>
  <si>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</si>
  <si>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</si>
  <si>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</si>
  <si>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</si>
  <si>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</si>
  <si>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</si>
  <si>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</si>
  <si>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</si>
  <si>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</si>
  <si>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</si>
  <si>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</si>
  <si>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</si>
  <si>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</si>
  <si>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</si>
  <si>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</si>
  <si>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</si>
  <si>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</si>
  <si>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</si>
  <si>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</si>
  <si>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</si>
  <si>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</si>
  <si>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</si>
  <si>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</si>
  <si>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</si>
  <si>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</si>
  <si>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</si>
  <si>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</si>
  <si>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</si>
  <si>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</si>
  <si>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</si>
  <si>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</si>
  <si>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</si>
  <si>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</si>
  <si>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</si>
  <si>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</si>
  <si>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</si>
  <si>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</si>
  <si>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</si>
  <si>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</si>
  <si>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</si>
  <si>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</si>
  <si>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</si>
  <si>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</si>
  <si>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</si>
  <si>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</si>
  <si>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</si>
  <si>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</si>
  <si>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</si>
  <si>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</si>
  <si>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</si>
  <si>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</si>
  <si>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</si>
  <si>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</si>
  <si>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</si>
  <si>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</si>
  <si>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</si>
  <si>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</si>
  <si>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</si>
  <si>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</si>
  <si>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</si>
  <si>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</si>
  <si>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</si>
  <si>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</si>
  <si>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</si>
  <si>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</si>
  <si>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</si>
  <si>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</si>
  <si>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</si>
  <si>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</si>
  <si>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</si>
  <si>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</si>
  <si>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</si>
  <si>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</si>
  <si>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</si>
  <si>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</si>
  <si>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</si>
  <si>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</si>
  <si>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</si>
  <si>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</si>
  <si>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</si>
  <si>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</si>
  <si>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</si>
  <si>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</si>
  <si>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</si>
  <si>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</si>
  <si>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</si>
  <si>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</si>
  <si>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</si>
  <si>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</si>
  <si>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</si>
  <si>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</si>
  <si>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</si>
  <si>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</si>
  <si>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</si>
  <si>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</si>
  <si>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</si>
  <si>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</si>
  <si>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</si>
  <si>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</si>
  <si>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</si>
  <si>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</si>
  <si>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</si>
  <si>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</si>
  <si>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</si>
  <si>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</si>
  <si>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</si>
  <si>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</si>
  <si>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</si>
  <si>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</si>
  <si>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</si>
  <si>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</si>
  <si>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</si>
  <si>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</si>
  <si>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</si>
  <si>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</si>
  <si>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</si>
  <si>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</si>
  <si>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</si>
  <si>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</si>
  <si>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</si>
  <si>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</si>
  <si>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</si>
  <si>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</si>
  <si>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</si>
  <si>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</si>
  <si>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</si>
  <si>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</si>
  <si>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</si>
  <si>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</si>
  <si>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</si>
  <si>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</si>
  <si>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</si>
  <si>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</si>
  <si>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</si>
  <si>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</si>
  <si>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</si>
  <si>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</si>
  <si>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</si>
  <si>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</si>
  <si>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</si>
  <si>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</si>
  <si>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</si>
  <si>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</si>
  <si>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</si>
  <si>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</si>
  <si>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</si>
  <si>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</si>
  <si>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</si>
  <si>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</si>
  <si>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</si>
  <si>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</si>
  <si>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</si>
  <si>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</si>
  <si>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</si>
  <si>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</si>
  <si>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</si>
  <si>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</si>
  <si>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</si>
  <si>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</si>
  <si>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</si>
  <si>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</si>
  <si>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</si>
  <si>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</si>
  <si>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</si>
  <si>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</si>
  <si>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</si>
  <si>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</si>
  <si>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</si>
  <si>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</si>
  <si>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</si>
  <si>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</si>
  <si>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</si>
  <si>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</si>
  <si>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</si>
  <si>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</si>
  <si>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</si>
  <si>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</si>
  <si>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</si>
  <si>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</si>
  <si>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</si>
  <si>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</si>
  <si>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</si>
  <si>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</si>
  <si>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</si>
  <si>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</si>
  <si>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</si>
  <si>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</si>
  <si>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</si>
  <si>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</si>
  <si>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</si>
  <si>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</si>
  <si>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</si>
  <si>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</si>
  <si>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</si>
  <si>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</si>
  <si>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</si>
  <si>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</si>
  <si>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</si>
  <si>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</si>
  <si>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</si>
  <si>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</si>
  <si>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</si>
  <si>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</si>
  <si>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</si>
  <si>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</si>
  <si>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</si>
  <si>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</si>
  <si>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</si>
  <si>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</si>
  <si>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</si>
  <si>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</si>
  <si>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</si>
  <si>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</si>
  <si>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</si>
  <si>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</si>
  <si>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</si>
  <si>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</si>
  <si>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</si>
  <si>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</si>
  <si>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</si>
  <si>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</si>
  <si>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</si>
  <si>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</si>
  <si>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</si>
  <si>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</si>
  <si>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</si>
  <si>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</si>
  <si>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</si>
  <si>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</si>
  <si>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</si>
  <si>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</si>
  <si>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</si>
  <si>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</si>
  <si>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</si>
  <si>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</si>
  <si>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</si>
  <si>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</si>
  <si>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</si>
  <si>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</si>
  <si>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</si>
  <si>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</si>
  <si>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</si>
  <si>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</si>
  <si>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</si>
  <si>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</si>
  <si>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</si>
  <si>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</si>
  <si>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</si>
  <si>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</si>
  <si>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</si>
  <si>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</si>
  <si>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</si>
  <si>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</si>
  <si>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</si>
  <si>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</si>
  <si>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</si>
  <si>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</si>
  <si>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</si>
  <si>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</si>
  <si>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</si>
  <si>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</si>
  <si>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</si>
  <si>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</si>
  <si>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</si>
  <si>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</si>
  <si>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</si>
  <si>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</si>
  <si>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</si>
  <si>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</si>
  <si>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</si>
  <si>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</si>
  <si>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</si>
  <si>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</si>
  <si>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</si>
  <si>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</si>
  <si>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</si>
  <si>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</si>
  <si>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</si>
  <si>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</si>
  <si>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</si>
  <si>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</si>
  <si>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</si>
  <si>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</si>
  <si>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</si>
  <si>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</si>
  <si>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</si>
  <si>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</si>
  <si>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</si>
  <si>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</si>
  <si>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</si>
  <si>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</si>
  <si>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</si>
  <si>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</si>
  <si>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</si>
  <si>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</si>
  <si>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</si>
  <si>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</si>
  <si>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</si>
  <si>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Alton School District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</si>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</sst>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02" activePane="bottomRight" state="frozen"/>
      <selection pane="topRight" activeCell="F1" sqref="F1"/>
      <selection pane="bottomLeft" activeCell="A4" sqref="A4"/>
      <selection pane="bottomRight" activeCell="A44" sqref="A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15</v>
      </c>
      <c r="C2" s="21">
        <v>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864633.98+83.11</f>
        <v>864717.09</v>
      </c>
      <c r="G9" s="18">
        <v>112</v>
      </c>
      <c r="H9" s="18">
        <v>0</v>
      </c>
      <c r="I9" s="18">
        <v>5</v>
      </c>
      <c r="J9" s="67">
        <f>SUM(I439)</f>
        <v>1108145.3999999999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51848.19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1052.67</v>
      </c>
      <c r="G12" s="18">
        <v>2403.29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38525.5+5+59576.73</f>
        <v>98107.23000000001</v>
      </c>
      <c r="G13" s="18">
        <v>10836.5</v>
      </c>
      <c r="H13" s="18">
        <v>46396.639999999999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963876.99</v>
      </c>
      <c r="G19" s="41">
        <f>SUM(G9:G18)</f>
        <v>65199.98</v>
      </c>
      <c r="H19" s="41">
        <f>SUM(H9:H18)</f>
        <v>46396.639999999999</v>
      </c>
      <c r="I19" s="41">
        <f>SUM(I9:I18)</f>
        <v>5</v>
      </c>
      <c r="J19" s="41">
        <f>SUM(J9:J18)</f>
        <v>1108145.3999999999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38525.5</v>
      </c>
      <c r="I22" s="18">
        <v>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f>2403.29+59576.73</f>
        <v>61980.020000000004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79931.460000000006</v>
      </c>
      <c r="G24" s="18">
        <v>97.11</v>
      </c>
      <c r="H24" s="18">
        <v>311.72000000000003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48152.72+8075.97+318001.67</f>
        <v>374230.36</v>
      </c>
      <c r="G28" s="18">
        <v>3122.85</v>
      </c>
      <c r="H28" s="18">
        <v>7152.27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407.15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454161.82</v>
      </c>
      <c r="G32" s="41">
        <f>SUM(G22:G31)</f>
        <v>65199.98</v>
      </c>
      <c r="H32" s="41">
        <f>SUM(H22:H31)</f>
        <v>46396.640000000007</v>
      </c>
      <c r="I32" s="41">
        <f>SUM(I22:I31)</f>
        <v>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63281.68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1108145.3999999999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58640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287793.49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509715.17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1108145.3999999999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963876.99</v>
      </c>
      <c r="G52" s="41">
        <f>G51+G32</f>
        <v>65199.98</v>
      </c>
      <c r="H52" s="41">
        <f>H51+H32</f>
        <v>46396.640000000007</v>
      </c>
      <c r="I52" s="41">
        <f>I51+I32</f>
        <v>5</v>
      </c>
      <c r="J52" s="41">
        <f>J51+J32</f>
        <v>1108145.3999999999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8523242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8523242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209.06</v>
      </c>
      <c r="H96" s="18">
        <v>0</v>
      </c>
      <c r="I96" s="18">
        <v>571.96</v>
      </c>
      <c r="J96" s="18">
        <v>4056.69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105209.41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6260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49.28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71196.65+23495.43</f>
        <v>94692.079999999987</v>
      </c>
      <c r="G110" s="18">
        <v>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101301.35999999999</v>
      </c>
      <c r="G111" s="41">
        <f>SUM(G96:G110)</f>
        <v>105418.47</v>
      </c>
      <c r="H111" s="41">
        <f>SUM(H96:H110)</f>
        <v>0</v>
      </c>
      <c r="I111" s="41">
        <f>SUM(I96:I110)</f>
        <v>571.96</v>
      </c>
      <c r="J111" s="41">
        <f>SUM(J96:J110)</f>
        <v>4056.69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8624543.3599999994</v>
      </c>
      <c r="G112" s="41">
        <f>G60+G111</f>
        <v>105418.47</v>
      </c>
      <c r="H112" s="41">
        <f>H60+H79+H94+H111</f>
        <v>0</v>
      </c>
      <c r="I112" s="41">
        <f>I60+I111</f>
        <v>571.96</v>
      </c>
      <c r="J112" s="41">
        <f>J60+J111</f>
        <v>4056.69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3616091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3616091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13342.08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3092.53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13342.08</v>
      </c>
      <c r="G136" s="41">
        <f>SUM(G123:G135)</f>
        <v>3092.53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3629433.08</v>
      </c>
      <c r="G140" s="41">
        <f>G121+SUM(G136:G137)</f>
        <v>3092.53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16157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8182.14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24339.14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3536.47+76102.22</f>
        <v>79638.69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4648.2+20095.62+241.41+1668.68+31163.28</f>
        <v>57817.19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25053.16+53452.5+17695.58</f>
        <v>96201.24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117084.94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88050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88050</v>
      </c>
      <c r="G162" s="41">
        <f>SUM(G150:G161)</f>
        <v>96201.24</v>
      </c>
      <c r="H162" s="41">
        <f>SUM(H150:H161)</f>
        <v>254540.82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88050</v>
      </c>
      <c r="G169" s="41">
        <f>G147+G162+SUM(G163:G168)</f>
        <v>120540.38</v>
      </c>
      <c r="H169" s="41">
        <f>H147+H162+SUM(H163:H168)</f>
        <v>254540.82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2403.29</v>
      </c>
      <c r="H179" s="18">
        <v>0</v>
      </c>
      <c r="I179" s="18">
        <v>0</v>
      </c>
      <c r="J179" s="18">
        <f>41548+44242</f>
        <v>85790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53853.64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53853.64</v>
      </c>
      <c r="G183" s="41">
        <f>SUM(G179:G182)</f>
        <v>2403.29</v>
      </c>
      <c r="H183" s="41">
        <f>SUM(H179:H182)</f>
        <v>0</v>
      </c>
      <c r="I183" s="41">
        <f>SUM(I179:I182)</f>
        <v>0</v>
      </c>
      <c r="J183" s="41">
        <f>SUM(J179:J182)</f>
        <v>85790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53853.64</v>
      </c>
      <c r="G192" s="41">
        <f>G183+SUM(G188:G191)</f>
        <v>2403.29</v>
      </c>
      <c r="H192" s="41">
        <f>+H183+SUM(H188:H191)</f>
        <v>0</v>
      </c>
      <c r="I192" s="41">
        <f>I177+I183+SUM(I188:I191)</f>
        <v>0</v>
      </c>
      <c r="J192" s="41">
        <f>J183</f>
        <v>85790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12395880.08</v>
      </c>
      <c r="G193" s="47">
        <f>G112+G140+G169+G192</f>
        <v>231454.67</v>
      </c>
      <c r="H193" s="47">
        <f>H112+H140+H169+H192</f>
        <v>254540.82</v>
      </c>
      <c r="I193" s="47">
        <f>I112+I140+I169+I192</f>
        <v>571.96</v>
      </c>
      <c r="J193" s="47">
        <f>J112+J140+J192</f>
        <v>89846.69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2196359.39</f>
        <v>2196359.39</v>
      </c>
      <c r="G197" s="18">
        <v>1029539.55</v>
      </c>
      <c r="H197" s="18">
        <v>31415.74</v>
      </c>
      <c r="I197" s="18">
        <f>81111.28+300</f>
        <v>81411.28</v>
      </c>
      <c r="J197" s="18">
        <v>78131.5</v>
      </c>
      <c r="K197" s="18">
        <v>69858.12</v>
      </c>
      <c r="L197" s="19">
        <f>SUM(F197:K197)</f>
        <v>3486715.5800000005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1138484.75</v>
      </c>
      <c r="G198" s="18">
        <v>539584.69999999995</v>
      </c>
      <c r="H198" s="18">
        <v>90337.45</v>
      </c>
      <c r="I198" s="18">
        <v>19210.23</v>
      </c>
      <c r="J198" s="18">
        <v>5348.18</v>
      </c>
      <c r="K198" s="18">
        <v>4567.55</v>
      </c>
      <c r="L198" s="19">
        <f>SUM(F198:K198)</f>
        <v>1797532.8599999999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33453.03</v>
      </c>
      <c r="G200" s="18">
        <v>5308.51</v>
      </c>
      <c r="H200" s="18">
        <v>17049.68</v>
      </c>
      <c r="I200" s="18">
        <v>12484.95</v>
      </c>
      <c r="J200" s="18">
        <v>2713.95</v>
      </c>
      <c r="K200" s="18">
        <v>2097.5</v>
      </c>
      <c r="L200" s="19">
        <f>SUM(F200:K200)</f>
        <v>73107.62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223506.38</v>
      </c>
      <c r="G202" s="18">
        <v>113699</v>
      </c>
      <c r="H202" s="18">
        <v>76313.61</v>
      </c>
      <c r="I202" s="18">
        <v>5175.72</v>
      </c>
      <c r="J202" s="18">
        <v>303.99</v>
      </c>
      <c r="K202" s="18">
        <v>209</v>
      </c>
      <c r="L202" s="19">
        <f t="shared" ref="L202:L208" si="0">SUM(F202:K202)</f>
        <v>419207.69999999995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79610.98</v>
      </c>
      <c r="G203" s="18">
        <v>71712.98</v>
      </c>
      <c r="H203" s="18">
        <v>11665.5</v>
      </c>
      <c r="I203" s="18">
        <v>6467.95</v>
      </c>
      <c r="J203" s="18">
        <v>41.94</v>
      </c>
      <c r="K203" s="18">
        <v>7426.71</v>
      </c>
      <c r="L203" s="19">
        <f t="shared" si="0"/>
        <v>176926.06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156563.07</v>
      </c>
      <c r="G204" s="18">
        <v>41963.93</v>
      </c>
      <c r="H204" s="18">
        <v>69283.740000000005</v>
      </c>
      <c r="I204" s="18">
        <v>5964.73</v>
      </c>
      <c r="J204" s="18">
        <v>10468.76</v>
      </c>
      <c r="K204" s="18">
        <v>5022.26</v>
      </c>
      <c r="L204" s="19">
        <f t="shared" si="0"/>
        <v>289266.49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238085.87</v>
      </c>
      <c r="G205" s="18">
        <v>110171.83</v>
      </c>
      <c r="H205" s="18">
        <v>11063.96</v>
      </c>
      <c r="I205" s="18">
        <v>5143.97</v>
      </c>
      <c r="J205" s="18">
        <v>0</v>
      </c>
      <c r="K205" s="18">
        <v>1879</v>
      </c>
      <c r="L205" s="19">
        <f t="shared" si="0"/>
        <v>366344.63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70498</v>
      </c>
      <c r="G206" s="18">
        <v>35441.86</v>
      </c>
      <c r="H206" s="18">
        <v>2260.1</v>
      </c>
      <c r="I206" s="18">
        <v>1200.3599999999999</v>
      </c>
      <c r="J206" s="18">
        <v>0</v>
      </c>
      <c r="K206" s="18">
        <v>11629.34</v>
      </c>
      <c r="L206" s="19">
        <f t="shared" si="0"/>
        <v>121029.66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196977.06</v>
      </c>
      <c r="G207" s="18">
        <v>84043.45</v>
      </c>
      <c r="H207" s="18">
        <v>302606.68</v>
      </c>
      <c r="I207" s="18">
        <v>283821.77</v>
      </c>
      <c r="J207" s="18">
        <v>31219.200000000001</v>
      </c>
      <c r="K207" s="18">
        <v>3161.4</v>
      </c>
      <c r="L207" s="19">
        <f t="shared" si="0"/>
        <v>901829.55999999994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345335.12</v>
      </c>
      <c r="I208" s="18">
        <v>0</v>
      </c>
      <c r="J208" s="18">
        <v>0</v>
      </c>
      <c r="K208" s="18">
        <v>0</v>
      </c>
      <c r="L208" s="19">
        <f t="shared" si="0"/>
        <v>345335.12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4333538.5299999993</v>
      </c>
      <c r="G211" s="41">
        <f t="shared" si="1"/>
        <v>2031465.81</v>
      </c>
      <c r="H211" s="41">
        <f t="shared" si="1"/>
        <v>957331.58</v>
      </c>
      <c r="I211" s="41">
        <f t="shared" si="1"/>
        <v>420880.95999999996</v>
      </c>
      <c r="J211" s="41">
        <f t="shared" si="1"/>
        <v>128227.51999999999</v>
      </c>
      <c r="K211" s="41">
        <f t="shared" si="1"/>
        <v>105850.87999999999</v>
      </c>
      <c r="L211" s="41">
        <f t="shared" si="1"/>
        <v>7977295.2800000003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v>3867077.52</v>
      </c>
      <c r="I233" s="18">
        <v>0</v>
      </c>
      <c r="J233" s="18">
        <v>0</v>
      </c>
      <c r="K233" s="18">
        <v>0</v>
      </c>
      <c r="L233" s="19">
        <f>SUM(F233:K233)</f>
        <v>3867077.52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30005.33</v>
      </c>
      <c r="G234" s="18">
        <f>10306.77+291</f>
        <v>10597.77</v>
      </c>
      <c r="H234" s="18">
        <v>154086.04</v>
      </c>
      <c r="I234" s="18">
        <v>68.5</v>
      </c>
      <c r="J234" s="18">
        <v>0</v>
      </c>
      <c r="K234" s="18">
        <v>0</v>
      </c>
      <c r="L234" s="19">
        <f>SUM(F234:K234)</f>
        <v>194757.64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164742.46</v>
      </c>
      <c r="I244" s="18">
        <v>0</v>
      </c>
      <c r="J244" s="18">
        <v>0</v>
      </c>
      <c r="K244" s="18">
        <v>0</v>
      </c>
      <c r="L244" s="19">
        <f t="shared" si="4"/>
        <v>164742.46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30005.33</v>
      </c>
      <c r="G247" s="41">
        <f t="shared" si="5"/>
        <v>10597.77</v>
      </c>
      <c r="H247" s="41">
        <f t="shared" si="5"/>
        <v>4185906.02</v>
      </c>
      <c r="I247" s="41">
        <f t="shared" si="5"/>
        <v>68.5</v>
      </c>
      <c r="J247" s="41">
        <f t="shared" si="5"/>
        <v>0</v>
      </c>
      <c r="K247" s="41">
        <f t="shared" si="5"/>
        <v>0</v>
      </c>
      <c r="L247" s="41">
        <f t="shared" si="5"/>
        <v>4226577.62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109250.08</v>
      </c>
      <c r="I255" s="18">
        <v>0</v>
      </c>
      <c r="J255" s="18">
        <v>17910</v>
      </c>
      <c r="K255" s="18">
        <v>0</v>
      </c>
      <c r="L255" s="19">
        <f t="shared" si="6"/>
        <v>127160.08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109250.08</v>
      </c>
      <c r="I256" s="41">
        <f t="shared" si="7"/>
        <v>0</v>
      </c>
      <c r="J256" s="41">
        <f t="shared" si="7"/>
        <v>17910</v>
      </c>
      <c r="K256" s="41">
        <f t="shared" si="7"/>
        <v>0</v>
      </c>
      <c r="L256" s="41">
        <f>SUM(F256:K256)</f>
        <v>127160.08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4363543.8599999994</v>
      </c>
      <c r="G257" s="41">
        <f t="shared" si="8"/>
        <v>2042063.58</v>
      </c>
      <c r="H257" s="41">
        <f t="shared" si="8"/>
        <v>5252487.68</v>
      </c>
      <c r="I257" s="41">
        <f t="shared" si="8"/>
        <v>420949.45999999996</v>
      </c>
      <c r="J257" s="41">
        <f t="shared" si="8"/>
        <v>146137.51999999999</v>
      </c>
      <c r="K257" s="41">
        <f t="shared" si="8"/>
        <v>105850.87999999999</v>
      </c>
      <c r="L257" s="41">
        <f t="shared" si="8"/>
        <v>12331032.98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2403.29</v>
      </c>
      <c r="L263" s="19">
        <f>SUM(F263:K263)</f>
        <v>2403.29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85790</v>
      </c>
      <c r="L266" s="19">
        <f t="shared" si="9"/>
        <v>85790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88193.29</v>
      </c>
      <c r="L270" s="41">
        <f t="shared" si="9"/>
        <v>88193.29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4363543.8599999994</v>
      </c>
      <c r="G271" s="42">
        <f t="shared" si="11"/>
        <v>2042063.58</v>
      </c>
      <c r="H271" s="42">
        <f t="shared" si="11"/>
        <v>5252487.68</v>
      </c>
      <c r="I271" s="42">
        <f t="shared" si="11"/>
        <v>420949.45999999996</v>
      </c>
      <c r="J271" s="42">
        <f t="shared" si="11"/>
        <v>146137.51999999999</v>
      </c>
      <c r="K271" s="42">
        <f t="shared" si="11"/>
        <v>194044.16999999998</v>
      </c>
      <c r="L271" s="42">
        <f t="shared" si="11"/>
        <v>12419226.27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21080.02+71446.35</f>
        <v>92526.37000000001</v>
      </c>
      <c r="G276" s="18">
        <f>3306.64</f>
        <v>3306.64</v>
      </c>
      <c r="H276" s="18">
        <v>4694.45</v>
      </c>
      <c r="I276" s="18">
        <f>4548.99+8192.34</f>
        <v>12741.33</v>
      </c>
      <c r="J276" s="18">
        <f>151.72+1946.07</f>
        <v>2097.79</v>
      </c>
      <c r="K276" s="18">
        <v>6609</v>
      </c>
      <c r="L276" s="19">
        <f>SUM(F276:K276)</f>
        <v>121975.58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910.62</v>
      </c>
      <c r="G277" s="18">
        <v>0</v>
      </c>
      <c r="H277" s="18">
        <v>113636</v>
      </c>
      <c r="I277" s="18">
        <v>350.17</v>
      </c>
      <c r="J277" s="18">
        <f>625+1938.15</f>
        <v>2563.15</v>
      </c>
      <c r="K277" s="18">
        <v>250</v>
      </c>
      <c r="L277" s="19">
        <f>SUM(F277:K277)</f>
        <v>117709.93999999999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3774.5</v>
      </c>
      <c r="G282" s="18">
        <v>554.65</v>
      </c>
      <c r="H282" s="18">
        <v>10102.08</v>
      </c>
      <c r="I282" s="18">
        <v>25</v>
      </c>
      <c r="J282" s="18">
        <v>0</v>
      </c>
      <c r="K282" s="18">
        <v>0</v>
      </c>
      <c r="L282" s="19">
        <f t="shared" si="12"/>
        <v>14456.23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399.07</v>
      </c>
      <c r="K286" s="18">
        <v>0</v>
      </c>
      <c r="L286" s="19">
        <f t="shared" si="12"/>
        <v>399.07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97211.49</v>
      </c>
      <c r="G290" s="42">
        <f t="shared" si="13"/>
        <v>3861.29</v>
      </c>
      <c r="H290" s="42">
        <f t="shared" si="13"/>
        <v>128432.53</v>
      </c>
      <c r="I290" s="42">
        <f t="shared" si="13"/>
        <v>13116.5</v>
      </c>
      <c r="J290" s="42">
        <f t="shared" si="13"/>
        <v>5060.01</v>
      </c>
      <c r="K290" s="42">
        <f t="shared" si="13"/>
        <v>6859</v>
      </c>
      <c r="L290" s="41">
        <f t="shared" si="13"/>
        <v>254540.82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97211.49</v>
      </c>
      <c r="G338" s="41">
        <f t="shared" si="20"/>
        <v>3861.29</v>
      </c>
      <c r="H338" s="41">
        <f t="shared" si="20"/>
        <v>128432.53</v>
      </c>
      <c r="I338" s="41">
        <f t="shared" si="20"/>
        <v>13116.5</v>
      </c>
      <c r="J338" s="41">
        <f t="shared" si="20"/>
        <v>5060.01</v>
      </c>
      <c r="K338" s="41">
        <f t="shared" si="20"/>
        <v>6859</v>
      </c>
      <c r="L338" s="41">
        <f t="shared" si="20"/>
        <v>254540.82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97211.49</v>
      </c>
      <c r="G352" s="41">
        <f>G338</f>
        <v>3861.29</v>
      </c>
      <c r="H352" s="41">
        <f>H338</f>
        <v>128432.53</v>
      </c>
      <c r="I352" s="41">
        <f>I338</f>
        <v>13116.5</v>
      </c>
      <c r="J352" s="41">
        <f>J338</f>
        <v>5060.01</v>
      </c>
      <c r="K352" s="47">
        <f>K338+K351</f>
        <v>6859</v>
      </c>
      <c r="L352" s="41">
        <f>L338+L351</f>
        <v>254540.82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47665.89+40588.1+17640.34</f>
        <v>105894.32999999999</v>
      </c>
      <c r="G358" s="18">
        <f>17159.4+803.81+8100.76+9505.16+727.5</f>
        <v>36296.630000000005</v>
      </c>
      <c r="H358" s="18">
        <v>1178.19</v>
      </c>
      <c r="I358" s="18">
        <f>6320.38+957.03+79644.55</f>
        <v>86921.96</v>
      </c>
      <c r="J358" s="18">
        <v>0</v>
      </c>
      <c r="K358" s="18">
        <v>1163.56</v>
      </c>
      <c r="L358" s="13">
        <f>SUM(F358:K358)</f>
        <v>231454.66999999998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105894.32999999999</v>
      </c>
      <c r="G362" s="47">
        <f t="shared" si="22"/>
        <v>36296.630000000005</v>
      </c>
      <c r="H362" s="47">
        <f t="shared" si="22"/>
        <v>1178.19</v>
      </c>
      <c r="I362" s="47">
        <f t="shared" si="22"/>
        <v>86921.96</v>
      </c>
      <c r="J362" s="47">
        <f t="shared" si="22"/>
        <v>0</v>
      </c>
      <c r="K362" s="47">
        <f t="shared" si="22"/>
        <v>1163.56</v>
      </c>
      <c r="L362" s="47">
        <f t="shared" si="22"/>
        <v>231454.66999999998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79644.55</v>
      </c>
      <c r="G367" s="18">
        <v>0</v>
      </c>
      <c r="H367" s="18">
        <v>0</v>
      </c>
      <c r="I367" s="56">
        <f>SUM(F367:H367)</f>
        <v>79644.55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6320.38+957.03</f>
        <v>7277.41</v>
      </c>
      <c r="G368" s="63">
        <v>0</v>
      </c>
      <c r="H368" s="63">
        <v>0</v>
      </c>
      <c r="I368" s="56">
        <f>SUM(F368:H368)</f>
        <v>7277.41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86921.96</v>
      </c>
      <c r="G369" s="47">
        <f>SUM(G367:G368)</f>
        <v>0</v>
      </c>
      <c r="H369" s="47">
        <f>SUM(H367:H368)</f>
        <v>0</v>
      </c>
      <c r="I369" s="47">
        <f>SUM(I367:I368)</f>
        <v>86921.96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53853.64</v>
      </c>
      <c r="L381" s="13">
        <f t="shared" si="23"/>
        <v>53853.64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53853.64</v>
      </c>
      <c r="L382" s="47">
        <f t="shared" si="24"/>
        <v>53853.64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25000</v>
      </c>
      <c r="H389" s="18">
        <v>237.84</v>
      </c>
      <c r="I389" s="18">
        <v>0</v>
      </c>
      <c r="J389" s="24" t="s">
        <v>289</v>
      </c>
      <c r="K389" s="24" t="s">
        <v>289</v>
      </c>
      <c r="L389" s="56">
        <f t="shared" si="25"/>
        <v>25237.84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16548</v>
      </c>
      <c r="H392" s="18">
        <f>82.24+72.12</f>
        <v>154.36000000000001</v>
      </c>
      <c r="I392" s="18">
        <v>0</v>
      </c>
      <c r="J392" s="24" t="s">
        <v>289</v>
      </c>
      <c r="K392" s="24" t="s">
        <v>289</v>
      </c>
      <c r="L392" s="56">
        <f t="shared" si="25"/>
        <v>16702.36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41548</v>
      </c>
      <c r="H393" s="139">
        <f>SUM(H387:H392)</f>
        <v>392.20000000000005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41940.199999999997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44242</v>
      </c>
      <c r="H396" s="18">
        <v>2619.73</v>
      </c>
      <c r="I396" s="18">
        <v>0</v>
      </c>
      <c r="J396" s="24" t="s">
        <v>289</v>
      </c>
      <c r="K396" s="24" t="s">
        <v>289</v>
      </c>
      <c r="L396" s="56">
        <f t="shared" si="26"/>
        <v>46861.73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1044.76</v>
      </c>
      <c r="I397" s="18">
        <v>0</v>
      </c>
      <c r="J397" s="24" t="s">
        <v>289</v>
      </c>
      <c r="K397" s="24" t="s">
        <v>289</v>
      </c>
      <c r="L397" s="56">
        <f t="shared" si="26"/>
        <v>1044.76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44242</v>
      </c>
      <c r="H401" s="47">
        <f>SUM(H395:H400)</f>
        <v>3664.49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47906.490000000005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85790</v>
      </c>
      <c r="H408" s="47">
        <f>H393+H401+H407</f>
        <v>4056.6899999999996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89846.69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17980</v>
      </c>
      <c r="I415" s="18">
        <v>0</v>
      </c>
      <c r="J415" s="18">
        <v>0</v>
      </c>
      <c r="K415" s="18">
        <v>0</v>
      </c>
      <c r="L415" s="56">
        <f t="shared" si="27"/>
        <v>17980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17980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17980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388599</v>
      </c>
      <c r="I422" s="18">
        <v>0</v>
      </c>
      <c r="J422" s="18">
        <v>0</v>
      </c>
      <c r="K422" s="18">
        <v>0</v>
      </c>
      <c r="L422" s="56">
        <f t="shared" si="29"/>
        <v>388599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388599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388599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406579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406579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339828.44</v>
      </c>
      <c r="G439" s="18">
        <v>768316.96</v>
      </c>
      <c r="H439" s="18">
        <v>0</v>
      </c>
      <c r="I439" s="56">
        <f t="shared" ref="I439:I445" si="33">SUM(F439:H439)</f>
        <v>1108145.3999999999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339828.44</v>
      </c>
      <c r="G446" s="13">
        <f>SUM(G439:G445)</f>
        <v>768316.96</v>
      </c>
      <c r="H446" s="13">
        <f>SUM(H439:H445)</f>
        <v>0</v>
      </c>
      <c r="I446" s="13">
        <f>SUM(I439:I445)</f>
        <v>1108145.3999999999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339828.44</v>
      </c>
      <c r="G459" s="18">
        <v>768316.96</v>
      </c>
      <c r="H459" s="18">
        <v>0</v>
      </c>
      <c r="I459" s="56">
        <f t="shared" si="34"/>
        <v>1108145.3999999999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339828.44</v>
      </c>
      <c r="G460" s="83">
        <f>SUM(G454:G459)</f>
        <v>768316.96</v>
      </c>
      <c r="H460" s="83">
        <f>SUM(H454:H459)</f>
        <v>0</v>
      </c>
      <c r="I460" s="83">
        <f>SUM(I454:I459)</f>
        <v>1108145.3999999999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339828.44</v>
      </c>
      <c r="G461" s="42">
        <f>G452+G460</f>
        <v>768316.96</v>
      </c>
      <c r="H461" s="42">
        <f>H452+H460</f>
        <v>0</v>
      </c>
      <c r="I461" s="42">
        <f>I452+I460</f>
        <v>1108145.3999999999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533061.36</v>
      </c>
      <c r="G465" s="18">
        <v>0</v>
      </c>
      <c r="H465" s="18">
        <v>0</v>
      </c>
      <c r="I465" s="18">
        <v>53281.68</v>
      </c>
      <c r="J465" s="18">
        <v>1424877.71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12342026.44+53853.64</f>
        <v>12395880.08</v>
      </c>
      <c r="G468" s="18">
        <v>231454.67</v>
      </c>
      <c r="H468" s="18">
        <v>254540.82</v>
      </c>
      <c r="I468" s="18">
        <v>571.96</v>
      </c>
      <c r="J468" s="18">
        <v>89846.69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12395880.08</v>
      </c>
      <c r="G470" s="53">
        <f>SUM(G468:G469)</f>
        <v>231454.67</v>
      </c>
      <c r="H470" s="53">
        <f>SUM(H468:H469)</f>
        <v>254540.82</v>
      </c>
      <c r="I470" s="53">
        <f>SUM(I468:I469)</f>
        <v>571.96</v>
      </c>
      <c r="J470" s="53">
        <f>SUM(J468:J469)</f>
        <v>89846.69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12419226.27</v>
      </c>
      <c r="G472" s="18">
        <v>231454.67</v>
      </c>
      <c r="H472" s="18">
        <v>254540.82</v>
      </c>
      <c r="I472" s="18">
        <v>53853.64</v>
      </c>
      <c r="J472" s="18">
        <v>406579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12419226.27</v>
      </c>
      <c r="G474" s="53">
        <f>SUM(G472:G473)</f>
        <v>231454.67</v>
      </c>
      <c r="H474" s="53">
        <f>SUM(H472:H473)</f>
        <v>254540.82</v>
      </c>
      <c r="I474" s="53">
        <f>SUM(I472:I473)</f>
        <v>53853.64</v>
      </c>
      <c r="J474" s="53">
        <f>SUM(J472:J473)</f>
        <v>406579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509715.16999999993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1108145.3999999999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1012106.38-102897.93</f>
        <v>909208.45</v>
      </c>
      <c r="G521" s="18">
        <f>480064.09-58346.36</f>
        <v>421717.73000000004</v>
      </c>
      <c r="H521" s="18">
        <v>83947.45</v>
      </c>
      <c r="I521" s="18">
        <v>15669.22</v>
      </c>
      <c r="J521" s="18">
        <v>8538.32</v>
      </c>
      <c r="K521" s="18">
        <v>2720.12</v>
      </c>
      <c r="L521" s="88">
        <f>SUM(F521:K521)</f>
        <v>1441801.29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30005.33</v>
      </c>
      <c r="G523" s="18">
        <v>10597.77</v>
      </c>
      <c r="H523" s="18">
        <v>154086.04</v>
      </c>
      <c r="I523" s="18">
        <v>68.5</v>
      </c>
      <c r="J523" s="18">
        <v>0</v>
      </c>
      <c r="K523" s="18">
        <v>0</v>
      </c>
      <c r="L523" s="88">
        <f>SUM(F523:K523)</f>
        <v>194757.64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939213.77999999991</v>
      </c>
      <c r="G524" s="108">
        <f t="shared" ref="G524:L524" si="36">SUM(G521:G523)</f>
        <v>432315.50000000006</v>
      </c>
      <c r="H524" s="108">
        <f t="shared" si="36"/>
        <v>238033.49</v>
      </c>
      <c r="I524" s="108">
        <f t="shared" si="36"/>
        <v>15737.72</v>
      </c>
      <c r="J524" s="108">
        <f t="shared" si="36"/>
        <v>8538.32</v>
      </c>
      <c r="K524" s="108">
        <f t="shared" si="36"/>
        <v>2720.12</v>
      </c>
      <c r="L524" s="89">
        <f t="shared" si="36"/>
        <v>1636558.9300000002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33100.339999999997</v>
      </c>
      <c r="G526" s="18">
        <v>17433.189999999999</v>
      </c>
      <c r="H526" s="18">
        <v>178051</v>
      </c>
      <c r="I526" s="18">
        <v>1355.19</v>
      </c>
      <c r="J526" s="18">
        <v>54.99</v>
      </c>
      <c r="K526" s="18">
        <v>0</v>
      </c>
      <c r="L526" s="88">
        <f>SUM(F526:K526)</f>
        <v>229994.71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33100.339999999997</v>
      </c>
      <c r="G529" s="89">
        <f t="shared" ref="G529:L529" si="37">SUM(G526:G528)</f>
        <v>17433.189999999999</v>
      </c>
      <c r="H529" s="89">
        <f t="shared" si="37"/>
        <v>178051</v>
      </c>
      <c r="I529" s="89">
        <f t="shared" si="37"/>
        <v>1355.19</v>
      </c>
      <c r="J529" s="89">
        <f t="shared" si="37"/>
        <v>54.99</v>
      </c>
      <c r="K529" s="89">
        <f t="shared" si="37"/>
        <v>0</v>
      </c>
      <c r="L529" s="89">
        <f t="shared" si="37"/>
        <v>229994.71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102897.93</v>
      </c>
      <c r="G531" s="18">
        <v>58346.36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161244.28999999998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102897.93</v>
      </c>
      <c r="G534" s="89">
        <f t="shared" ref="G534:L534" si="38">SUM(G531:G533)</f>
        <v>58346.36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161244.28999999998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0</v>
      </c>
      <c r="G541" s="18">
        <v>0</v>
      </c>
      <c r="H541" s="18">
        <v>102824.31</v>
      </c>
      <c r="I541" s="18">
        <v>0</v>
      </c>
      <c r="J541" s="18">
        <v>0</v>
      </c>
      <c r="K541" s="18">
        <v>0</v>
      </c>
      <c r="L541" s="88">
        <f>SUM(F541:K541)</f>
        <v>102824.31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0</v>
      </c>
      <c r="G543" s="18">
        <v>0</v>
      </c>
      <c r="H543" s="18">
        <v>52585.8</v>
      </c>
      <c r="I543" s="18">
        <v>0</v>
      </c>
      <c r="J543" s="18">
        <v>0</v>
      </c>
      <c r="K543" s="18">
        <v>0</v>
      </c>
      <c r="L543" s="88">
        <f>SUM(F543:K543)</f>
        <v>52585.8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155410.10999999999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155410.10999999999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1075212.0499999998</v>
      </c>
      <c r="G545" s="89">
        <f t="shared" ref="G545:L545" si="41">G524+G529+G534+G539+G544</f>
        <v>508095.05000000005</v>
      </c>
      <c r="H545" s="89">
        <f t="shared" si="41"/>
        <v>571494.6</v>
      </c>
      <c r="I545" s="89">
        <f t="shared" si="41"/>
        <v>17092.91</v>
      </c>
      <c r="J545" s="89">
        <f t="shared" si="41"/>
        <v>8593.31</v>
      </c>
      <c r="K545" s="89">
        <f t="shared" si="41"/>
        <v>2720.12</v>
      </c>
      <c r="L545" s="89">
        <f t="shared" si="41"/>
        <v>2183208.04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1441801.29</v>
      </c>
      <c r="G549" s="87">
        <f>L526</f>
        <v>229994.71</v>
      </c>
      <c r="H549" s="87">
        <f>L531</f>
        <v>161244.28999999998</v>
      </c>
      <c r="I549" s="87">
        <f>L536</f>
        <v>0</v>
      </c>
      <c r="J549" s="87">
        <f>L541</f>
        <v>102824.31</v>
      </c>
      <c r="K549" s="87">
        <f>SUM(F549:J549)</f>
        <v>1935864.6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194757.64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52585.8</v>
      </c>
      <c r="K551" s="87">
        <f>SUM(F551:J551)</f>
        <v>247343.44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1636558.9300000002</v>
      </c>
      <c r="G552" s="89">
        <f t="shared" si="42"/>
        <v>229994.71</v>
      </c>
      <c r="H552" s="89">
        <f t="shared" si="42"/>
        <v>161244.28999999998</v>
      </c>
      <c r="I552" s="89">
        <f t="shared" si="42"/>
        <v>0</v>
      </c>
      <c r="J552" s="89">
        <f t="shared" si="42"/>
        <v>155410.10999999999</v>
      </c>
      <c r="K552" s="89">
        <f t="shared" si="42"/>
        <v>2183208.04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127888.99</v>
      </c>
      <c r="G567" s="18">
        <v>59520.61</v>
      </c>
      <c r="H567" s="18">
        <v>6390</v>
      </c>
      <c r="I567" s="18">
        <v>3891.18</v>
      </c>
      <c r="J567" s="18">
        <v>1319.08</v>
      </c>
      <c r="K567" s="18">
        <v>2097.4299999999998</v>
      </c>
      <c r="L567" s="88">
        <f>SUM(F567:K567)</f>
        <v>201107.28999999998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127888.99</v>
      </c>
      <c r="G570" s="193">
        <f t="shared" ref="G570:L570" si="45">SUM(G567:G569)</f>
        <v>59520.61</v>
      </c>
      <c r="H570" s="193">
        <f t="shared" si="45"/>
        <v>6390</v>
      </c>
      <c r="I570" s="193">
        <f t="shared" si="45"/>
        <v>3891.18</v>
      </c>
      <c r="J570" s="193">
        <f t="shared" si="45"/>
        <v>1319.08</v>
      </c>
      <c r="K570" s="193">
        <f t="shared" si="45"/>
        <v>2097.4299999999998</v>
      </c>
      <c r="L570" s="193">
        <f t="shared" si="45"/>
        <v>201107.28999999998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127888.99</v>
      </c>
      <c r="G571" s="89">
        <f t="shared" ref="G571:L571" si="46">G560+G565+G570</f>
        <v>59520.61</v>
      </c>
      <c r="H571" s="89">
        <f t="shared" si="46"/>
        <v>6390</v>
      </c>
      <c r="I571" s="89">
        <f t="shared" si="46"/>
        <v>3891.18</v>
      </c>
      <c r="J571" s="89">
        <f t="shared" si="46"/>
        <v>1319.08</v>
      </c>
      <c r="K571" s="89">
        <f t="shared" si="46"/>
        <v>2097.4299999999998</v>
      </c>
      <c r="L571" s="89">
        <f t="shared" si="46"/>
        <v>201107.28999999998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3867077.52</v>
      </c>
      <c r="I577" s="87">
        <f t="shared" si="47"/>
        <v>3867077.52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8739.25</v>
      </c>
      <c r="G582" s="18">
        <v>0</v>
      </c>
      <c r="H582" s="18">
        <f>123788.68+4916.4</f>
        <v>128705.07999999999</v>
      </c>
      <c r="I582" s="87">
        <f t="shared" si="47"/>
        <v>137444.32999999999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218509.6</v>
      </c>
      <c r="I591" s="18">
        <v>0</v>
      </c>
      <c r="J591" s="18">
        <v>112156.66</v>
      </c>
      <c r="K591" s="104">
        <f t="shared" ref="K591:K597" si="48">SUM(H591:J591)</f>
        <v>330666.26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102824.31</v>
      </c>
      <c r="I592" s="18">
        <v>0</v>
      </c>
      <c r="J592" s="18">
        <v>52585.8</v>
      </c>
      <c r="K592" s="104">
        <f t="shared" si="48"/>
        <v>155410.10999999999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11794.27</v>
      </c>
      <c r="I594" s="18">
        <v>0</v>
      </c>
      <c r="J594" s="18">
        <v>0</v>
      </c>
      <c r="K594" s="104">
        <f t="shared" si="48"/>
        <v>11794.27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12206.94</v>
      </c>
      <c r="I595" s="18">
        <v>0</v>
      </c>
      <c r="J595" s="18">
        <v>0</v>
      </c>
      <c r="K595" s="104">
        <f t="shared" si="48"/>
        <v>12206.94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345335.12000000005</v>
      </c>
      <c r="I598" s="108">
        <f>SUM(I591:I597)</f>
        <v>0</v>
      </c>
      <c r="J598" s="108">
        <f>SUM(J591:J597)</f>
        <v>164742.46000000002</v>
      </c>
      <c r="K598" s="108">
        <f>SUM(K591:K597)</f>
        <v>510077.58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133287.53</v>
      </c>
      <c r="I604" s="18">
        <v>0</v>
      </c>
      <c r="J604" s="18">
        <v>0</v>
      </c>
      <c r="K604" s="104">
        <f>SUM(H604:J604)</f>
        <v>133287.53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133287.53</v>
      </c>
      <c r="I605" s="108">
        <f>SUM(I602:I604)</f>
        <v>0</v>
      </c>
      <c r="J605" s="108">
        <f>SUM(J602:J604)</f>
        <v>0</v>
      </c>
      <c r="K605" s="108">
        <f>SUM(K602:K604)</f>
        <v>133287.53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6874.6</v>
      </c>
      <c r="G611" s="18">
        <v>1148.3699999999999</v>
      </c>
      <c r="H611" s="18">
        <v>0</v>
      </c>
      <c r="I611" s="18">
        <v>2709.58</v>
      </c>
      <c r="J611" s="18">
        <v>0</v>
      </c>
      <c r="K611" s="18">
        <v>0</v>
      </c>
      <c r="L611" s="88">
        <f>SUM(F611:K611)</f>
        <v>10732.55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6874.6</v>
      </c>
      <c r="G614" s="108">
        <f t="shared" si="49"/>
        <v>1148.3699999999999</v>
      </c>
      <c r="H614" s="108">
        <f t="shared" si="49"/>
        <v>0</v>
      </c>
      <c r="I614" s="108">
        <f t="shared" si="49"/>
        <v>2709.58</v>
      </c>
      <c r="J614" s="108">
        <f t="shared" si="49"/>
        <v>0</v>
      </c>
      <c r="K614" s="108">
        <f t="shared" si="49"/>
        <v>0</v>
      </c>
      <c r="L614" s="89">
        <f t="shared" si="49"/>
        <v>10732.55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963876.99</v>
      </c>
      <c r="H617" s="109">
        <f>SUM(F52)</f>
        <v>963876.99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65199.98</v>
      </c>
      <c r="H618" s="109">
        <f>SUM(G52)</f>
        <v>65199.98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46396.639999999999</v>
      </c>
      <c r="H619" s="109">
        <f>SUM(H52)</f>
        <v>46396.640000000007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</v>
      </c>
      <c r="H620" s="109">
        <f>SUM(I52)</f>
        <v>5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1108145.3999999999</v>
      </c>
      <c r="H621" s="109">
        <f>SUM(J52)</f>
        <v>1108145.3999999999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509715.17</v>
      </c>
      <c r="H622" s="109">
        <f>F476</f>
        <v>509715.16999999993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1108145.3999999999</v>
      </c>
      <c r="H626" s="109">
        <f>J476</f>
        <v>1108145.3999999999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12395880.08</v>
      </c>
      <c r="H627" s="104">
        <f>SUM(F468)</f>
        <v>12395880.08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231454.67</v>
      </c>
      <c r="H628" s="104">
        <f>SUM(G468)</f>
        <v>231454.67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254540.82</v>
      </c>
      <c r="H629" s="104">
        <f>SUM(H468)</f>
        <v>254540.82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571.96</v>
      </c>
      <c r="H630" s="104">
        <f>SUM(I468)</f>
        <v>571.96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89846.69</v>
      </c>
      <c r="H631" s="104">
        <f>SUM(J468)</f>
        <v>89846.69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12419226.27</v>
      </c>
      <c r="H632" s="104">
        <f>SUM(F472)</f>
        <v>12419226.27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254540.82</v>
      </c>
      <c r="H633" s="104">
        <f>SUM(H472)</f>
        <v>254540.82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86921.96</v>
      </c>
      <c r="H634" s="104">
        <f>I369</f>
        <v>86921.96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231454.66999999998</v>
      </c>
      <c r="H635" s="104">
        <f>SUM(G472)</f>
        <v>231454.67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53853.64</v>
      </c>
      <c r="H636" s="104">
        <f>SUM(I472)</f>
        <v>53853.64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89846.69</v>
      </c>
      <c r="H637" s="164">
        <f>SUM(J468)</f>
        <v>89846.69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406579</v>
      </c>
      <c r="H638" s="164">
        <f>SUM(J472)</f>
        <v>406579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339828.44</v>
      </c>
      <c r="H639" s="104">
        <f>SUM(F461)</f>
        <v>339828.44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768316.96</v>
      </c>
      <c r="H640" s="104">
        <f>SUM(G461)</f>
        <v>768316.96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1108145.3999999999</v>
      </c>
      <c r="H642" s="104">
        <f>SUM(I461)</f>
        <v>1108145.3999999999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4056.69</v>
      </c>
      <c r="H644" s="104">
        <f>H408</f>
        <v>4056.6899999999996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85790</v>
      </c>
      <c r="H645" s="104">
        <f>G408</f>
        <v>85790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89846.69</v>
      </c>
      <c r="H646" s="104">
        <f>L408</f>
        <v>89846.69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510077.58</v>
      </c>
      <c r="H647" s="104">
        <f>L208+L226+L244</f>
        <v>510077.57999999996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133287.53</v>
      </c>
      <c r="H648" s="104">
        <f>(J257+J338)-(J255+J336)</f>
        <v>133287.53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345335.12</v>
      </c>
      <c r="H649" s="104">
        <f>H598</f>
        <v>345335.12000000005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164742.46</v>
      </c>
      <c r="H651" s="104">
        <f>J598</f>
        <v>164742.46000000002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2403.29</v>
      </c>
      <c r="H652" s="104">
        <f>K263+K345</f>
        <v>2403.29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85790</v>
      </c>
      <c r="H655" s="104">
        <f>K266+K347</f>
        <v>85790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8463290.7700000014</v>
      </c>
      <c r="G660" s="19">
        <f>(L229+L309+L359)</f>
        <v>0</v>
      </c>
      <c r="H660" s="19">
        <f>(L247+L328+L360)</f>
        <v>4226577.62</v>
      </c>
      <c r="I660" s="19">
        <f>SUM(F660:H660)</f>
        <v>12689868.390000001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105209.41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105209.41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345335.12</v>
      </c>
      <c r="G662" s="19">
        <f>(L226+L306)-(J226+J306)</f>
        <v>0</v>
      </c>
      <c r="H662" s="19">
        <f>(L244+L325)-(J244+J325)</f>
        <v>164742.46</v>
      </c>
      <c r="I662" s="19">
        <f>SUM(F662:H662)</f>
        <v>510077.57999999996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152759.32999999999</v>
      </c>
      <c r="G663" s="199">
        <f>SUM(G575:G587)+SUM(I602:I604)+L612</f>
        <v>0</v>
      </c>
      <c r="H663" s="199">
        <f>SUM(H575:H587)+SUM(J602:J604)+L613</f>
        <v>3995782.6</v>
      </c>
      <c r="I663" s="19">
        <f>SUM(F663:H663)</f>
        <v>4148541.93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7859986.9100000011</v>
      </c>
      <c r="G664" s="19">
        <f>G660-SUM(G661:G663)</f>
        <v>0</v>
      </c>
      <c r="H664" s="19">
        <f>H660-SUM(H661:H663)</f>
        <v>66052.560000000056</v>
      </c>
      <c r="I664" s="19">
        <f>I660-SUM(I661:I663)</f>
        <v>7926039.4700000007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498.12</v>
      </c>
      <c r="G665" s="248"/>
      <c r="H665" s="248"/>
      <c r="I665" s="19">
        <f>SUM(F665:H665)</f>
        <v>498.12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15779.3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15911.91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-66052.56</v>
      </c>
      <c r="I669" s="19">
        <f>SUM(F669:H669)</f>
        <v>-66052.56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15779.3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15779.3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2" zoomScale="110" zoomScaleNormal="110" workbookViewId="0">
      <selection activeCell="B31" sqref="B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2288885.7600000002</v>
      </c>
      <c r="C9" s="229">
        <f>'DOE25'!G197+'DOE25'!G215+'DOE25'!G233+'DOE25'!G276+'DOE25'!G295+'DOE25'!G314</f>
        <v>1032846.1900000001</v>
      </c>
    </row>
    <row r="10" spans="1:3" x14ac:dyDescent="0.2">
      <c r="A10" t="s">
        <v>779</v>
      </c>
      <c r="B10" s="240">
        <v>2063755.79</v>
      </c>
      <c r="C10" s="240">
        <v>929561.58</v>
      </c>
    </row>
    <row r="11" spans="1:3" x14ac:dyDescent="0.2">
      <c r="A11" t="s">
        <v>780</v>
      </c>
      <c r="B11" s="240">
        <v>148679.04999999999</v>
      </c>
      <c r="C11" s="240">
        <v>67135.009999999995</v>
      </c>
    </row>
    <row r="12" spans="1:3" x14ac:dyDescent="0.2">
      <c r="A12" t="s">
        <v>781</v>
      </c>
      <c r="B12" s="240">
        <v>76450.92</v>
      </c>
      <c r="C12" s="240">
        <v>36149.599999999999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2288885.7599999998</v>
      </c>
      <c r="C13" s="231">
        <f>SUM(C10:C12)</f>
        <v>1032846.19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1169400.7000000002</v>
      </c>
      <c r="C18" s="229">
        <f>'DOE25'!G198+'DOE25'!G216+'DOE25'!G234+'DOE25'!G277+'DOE25'!G296+'DOE25'!G315</f>
        <v>550182.47</v>
      </c>
    </row>
    <row r="19" spans="1:3" x14ac:dyDescent="0.2">
      <c r="A19" t="s">
        <v>779</v>
      </c>
      <c r="B19" s="240">
        <v>631538.82999999996</v>
      </c>
      <c r="C19" s="240">
        <v>297098.53999999998</v>
      </c>
    </row>
    <row r="20" spans="1:3" x14ac:dyDescent="0.2">
      <c r="A20" t="s">
        <v>780</v>
      </c>
      <c r="B20" s="240">
        <v>524399.37</v>
      </c>
      <c r="C20" s="240">
        <v>247582.12</v>
      </c>
    </row>
    <row r="21" spans="1:3" x14ac:dyDescent="0.2">
      <c r="A21" t="s">
        <v>781</v>
      </c>
      <c r="B21" s="240">
        <v>13462.5</v>
      </c>
      <c r="C21" s="240">
        <v>5501.81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1169400.7</v>
      </c>
      <c r="C22" s="231">
        <f>SUM(C19:C21)</f>
        <v>550182.47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33453.03</v>
      </c>
      <c r="C36" s="235">
        <f>'DOE25'!G200+'DOE25'!G218+'DOE25'!G236+'DOE25'!G279+'DOE25'!G298+'DOE25'!G317</f>
        <v>5308.51</v>
      </c>
    </row>
    <row r="37" spans="1:3" x14ac:dyDescent="0.2">
      <c r="A37" t="s">
        <v>779</v>
      </c>
      <c r="B37" s="240">
        <v>31903.43</v>
      </c>
      <c r="C37" s="240">
        <v>2440.62</v>
      </c>
    </row>
    <row r="38" spans="1:3" x14ac:dyDescent="0.2">
      <c r="A38" t="s">
        <v>780</v>
      </c>
      <c r="B38" s="240">
        <v>1549.6</v>
      </c>
      <c r="C38" s="240">
        <v>2867.89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33453.03</v>
      </c>
      <c r="C40" s="231">
        <f>SUM(C37:C39)</f>
        <v>5308.51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3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9419191.2200000007</v>
      </c>
      <c r="D5" s="20">
        <f>SUM('DOE25'!L197:L200)+SUM('DOE25'!L215:L218)+SUM('DOE25'!L233:L236)-F5-G5</f>
        <v>9256474.4199999999</v>
      </c>
      <c r="E5" s="243"/>
      <c r="F5" s="255">
        <f>SUM('DOE25'!J197:J200)+SUM('DOE25'!J215:J218)+SUM('DOE25'!J233:J236)</f>
        <v>86193.62999999999</v>
      </c>
      <c r="G5" s="53">
        <f>SUM('DOE25'!K197:K200)+SUM('DOE25'!K215:K218)+SUM('DOE25'!K233:K236)</f>
        <v>76523.17</v>
      </c>
      <c r="H5" s="259"/>
    </row>
    <row r="6" spans="1:9" x14ac:dyDescent="0.2">
      <c r="A6" s="32">
        <v>2100</v>
      </c>
      <c r="B6" t="s">
        <v>801</v>
      </c>
      <c r="C6" s="245">
        <f t="shared" si="0"/>
        <v>419207.69999999995</v>
      </c>
      <c r="D6" s="20">
        <f>'DOE25'!L202+'DOE25'!L220+'DOE25'!L238-F6-G6</f>
        <v>418694.70999999996</v>
      </c>
      <c r="E6" s="243"/>
      <c r="F6" s="255">
        <f>'DOE25'!J202+'DOE25'!J220+'DOE25'!J238</f>
        <v>303.99</v>
      </c>
      <c r="G6" s="53">
        <f>'DOE25'!K202+'DOE25'!K220+'DOE25'!K238</f>
        <v>209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176926.06</v>
      </c>
      <c r="D7" s="20">
        <f>'DOE25'!L203+'DOE25'!L221+'DOE25'!L239-F7-G7</f>
        <v>169457.41</v>
      </c>
      <c r="E7" s="243"/>
      <c r="F7" s="255">
        <f>'DOE25'!J203+'DOE25'!J221+'DOE25'!J239</f>
        <v>41.94</v>
      </c>
      <c r="G7" s="53">
        <f>'DOE25'!K203+'DOE25'!K221+'DOE25'!K239</f>
        <v>7426.71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32572.929999999978</v>
      </c>
      <c r="D8" s="243"/>
      <c r="E8" s="20">
        <f>'DOE25'!L204+'DOE25'!L222+'DOE25'!L240-F8-G8-D9-D11</f>
        <v>17081.909999999974</v>
      </c>
      <c r="F8" s="255">
        <f>'DOE25'!J204+'DOE25'!J222+'DOE25'!J240</f>
        <v>10468.76</v>
      </c>
      <c r="G8" s="53">
        <f>'DOE25'!K204+'DOE25'!K222+'DOE25'!K240</f>
        <v>5022.26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75583.740000000005</v>
      </c>
      <c r="D9" s="244">
        <v>75583.740000000005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12211</v>
      </c>
      <c r="D10" s="243"/>
      <c r="E10" s="244">
        <v>12211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181109.82</v>
      </c>
      <c r="D11" s="244">
        <v>181109.82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366344.63</v>
      </c>
      <c r="D12" s="20">
        <f>'DOE25'!L205+'DOE25'!L223+'DOE25'!L241-F12-G12</f>
        <v>364465.63</v>
      </c>
      <c r="E12" s="243"/>
      <c r="F12" s="255">
        <f>'DOE25'!J205+'DOE25'!J223+'DOE25'!J241</f>
        <v>0</v>
      </c>
      <c r="G12" s="53">
        <f>'DOE25'!K205+'DOE25'!K223+'DOE25'!K241</f>
        <v>1879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121029.66</v>
      </c>
      <c r="D13" s="243"/>
      <c r="E13" s="20">
        <f>'DOE25'!L206+'DOE25'!L224+'DOE25'!L242-F13-G13</f>
        <v>109400.32000000001</v>
      </c>
      <c r="F13" s="255">
        <f>'DOE25'!J206+'DOE25'!J224+'DOE25'!J242</f>
        <v>0</v>
      </c>
      <c r="G13" s="53">
        <f>'DOE25'!K206+'DOE25'!K224+'DOE25'!K242</f>
        <v>11629.34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901829.55999999994</v>
      </c>
      <c r="D14" s="20">
        <f>'DOE25'!L207+'DOE25'!L225+'DOE25'!L243-F14-G14</f>
        <v>867448.96</v>
      </c>
      <c r="E14" s="243"/>
      <c r="F14" s="255">
        <f>'DOE25'!J207+'DOE25'!J225+'DOE25'!J243</f>
        <v>31219.200000000001</v>
      </c>
      <c r="G14" s="53">
        <f>'DOE25'!K207+'DOE25'!K225+'DOE25'!K243</f>
        <v>3161.4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510077.57999999996</v>
      </c>
      <c r="D15" s="20">
        <f>'DOE25'!L208+'DOE25'!L226+'DOE25'!L244-F15-G15</f>
        <v>510077.57999999996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127160.08</v>
      </c>
      <c r="D22" s="243"/>
      <c r="E22" s="243"/>
      <c r="F22" s="255">
        <f>'DOE25'!L255+'DOE25'!L336</f>
        <v>127160.08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151810.12</v>
      </c>
      <c r="D29" s="20">
        <f>'DOE25'!L358+'DOE25'!L359+'DOE25'!L360-'DOE25'!I367-F29-G29</f>
        <v>150646.56</v>
      </c>
      <c r="E29" s="243"/>
      <c r="F29" s="255">
        <f>'DOE25'!J358+'DOE25'!J359+'DOE25'!J360</f>
        <v>0</v>
      </c>
      <c r="G29" s="53">
        <f>'DOE25'!K358+'DOE25'!K359+'DOE25'!K360</f>
        <v>1163.56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254540.82</v>
      </c>
      <c r="D31" s="20">
        <f>'DOE25'!L290+'DOE25'!L309+'DOE25'!L328+'DOE25'!L333+'DOE25'!L334+'DOE25'!L335-F31-G31</f>
        <v>242621.81</v>
      </c>
      <c r="E31" s="243"/>
      <c r="F31" s="255">
        <f>'DOE25'!J290+'DOE25'!J309+'DOE25'!J328+'DOE25'!J333+'DOE25'!J334+'DOE25'!J335</f>
        <v>5060.01</v>
      </c>
      <c r="G31" s="53">
        <f>'DOE25'!K290+'DOE25'!K309+'DOE25'!K328+'DOE25'!K333+'DOE25'!K334+'DOE25'!K335</f>
        <v>6859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12236580.640000002</v>
      </c>
      <c r="E33" s="246">
        <f>SUM(E5:E31)</f>
        <v>138693.22999999998</v>
      </c>
      <c r="F33" s="246">
        <f>SUM(F5:F31)</f>
        <v>260447.61</v>
      </c>
      <c r="G33" s="246">
        <f>SUM(G5:G31)</f>
        <v>113873.43999999999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138693.22999999998</v>
      </c>
      <c r="E35" s="249"/>
    </row>
    <row r="36" spans="2:8" ht="12" thickTop="1" x14ac:dyDescent="0.2">
      <c r="B36" t="s">
        <v>815</v>
      </c>
      <c r="D36" s="20">
        <f>D33</f>
        <v>12236580.640000002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864717.09</v>
      </c>
      <c r="D8" s="95">
        <f>'DOE25'!G9</f>
        <v>112</v>
      </c>
      <c r="E8" s="95">
        <f>'DOE25'!H9</f>
        <v>0</v>
      </c>
      <c r="F8" s="95">
        <f>'DOE25'!I9</f>
        <v>5</v>
      </c>
      <c r="G8" s="95">
        <f>'DOE25'!J9</f>
        <v>1108145.3999999999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51848.19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1052.67</v>
      </c>
      <c r="D11" s="95">
        <f>'DOE25'!G12</f>
        <v>2403.29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98107.23000000001</v>
      </c>
      <c r="D12" s="95">
        <f>'DOE25'!G13</f>
        <v>10836.5</v>
      </c>
      <c r="E12" s="95">
        <f>'DOE25'!H13</f>
        <v>46396.639999999999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963876.99</v>
      </c>
      <c r="D18" s="41">
        <f>SUM(D8:D17)</f>
        <v>65199.98</v>
      </c>
      <c r="E18" s="41">
        <f>SUM(E8:E17)</f>
        <v>46396.639999999999</v>
      </c>
      <c r="F18" s="41">
        <f>SUM(F8:F17)</f>
        <v>5</v>
      </c>
      <c r="G18" s="41">
        <f>SUM(G8:G17)</f>
        <v>1108145.3999999999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38525.5</v>
      </c>
      <c r="F21" s="95">
        <f>'DOE25'!I22</f>
        <v>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61980.020000000004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79931.460000000006</v>
      </c>
      <c r="D23" s="95">
        <f>'DOE25'!G24</f>
        <v>97.11</v>
      </c>
      <c r="E23" s="95">
        <f>'DOE25'!H24</f>
        <v>311.72000000000003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374230.36</v>
      </c>
      <c r="D27" s="95">
        <f>'DOE25'!G28</f>
        <v>3122.85</v>
      </c>
      <c r="E27" s="95">
        <f>'DOE25'!H28</f>
        <v>7152.27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407.15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454161.82</v>
      </c>
      <c r="D31" s="41">
        <f>SUM(D21:D30)</f>
        <v>65199.98</v>
      </c>
      <c r="E31" s="41">
        <f>SUM(E21:E30)</f>
        <v>46396.640000000007</v>
      </c>
      <c r="F31" s="41">
        <f>SUM(F21:F30)</f>
        <v>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63281.68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1108145.3999999999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58640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287793.49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509715.17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1108145.3999999999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963876.99</v>
      </c>
      <c r="D51" s="41">
        <f>D50+D31</f>
        <v>65199.98</v>
      </c>
      <c r="E51" s="41">
        <f>E50+E31</f>
        <v>46396.640000000007</v>
      </c>
      <c r="F51" s="41">
        <f>F50+F31</f>
        <v>5</v>
      </c>
      <c r="G51" s="41">
        <f>G50+G31</f>
        <v>1108145.3999999999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8523242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209.06</v>
      </c>
      <c r="E59" s="95">
        <f>'DOE25'!H96</f>
        <v>0</v>
      </c>
      <c r="F59" s="95">
        <f>'DOE25'!I96</f>
        <v>571.96</v>
      </c>
      <c r="G59" s="95">
        <f>'DOE25'!J96</f>
        <v>4056.69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105209.41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101301.35999999999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101301.35999999999</v>
      </c>
      <c r="D62" s="130">
        <f>SUM(D57:D61)</f>
        <v>105418.47</v>
      </c>
      <c r="E62" s="130">
        <f>SUM(E57:E61)</f>
        <v>0</v>
      </c>
      <c r="F62" s="130">
        <f>SUM(F57:F61)</f>
        <v>571.96</v>
      </c>
      <c r="G62" s="130">
        <f>SUM(G57:G61)</f>
        <v>4056.69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8624543.3599999994</v>
      </c>
      <c r="D63" s="22">
        <f>D56+D62</f>
        <v>105418.47</v>
      </c>
      <c r="E63" s="22">
        <f>E56+E62</f>
        <v>0</v>
      </c>
      <c r="F63" s="22">
        <f>F56+F62</f>
        <v>571.96</v>
      </c>
      <c r="G63" s="22">
        <f>G56+G62</f>
        <v>4056.69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3616091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3616091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13342.08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3092.53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13342.08</v>
      </c>
      <c r="D78" s="130">
        <f>SUM(D72:D77)</f>
        <v>3092.53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3629433.08</v>
      </c>
      <c r="D81" s="130">
        <f>SUM(D79:D80)+D78+D70</f>
        <v>3092.53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24339.14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88050</v>
      </c>
      <c r="D88" s="95">
        <f>SUM('DOE25'!G153:G161)</f>
        <v>96201.24</v>
      </c>
      <c r="E88" s="95">
        <f>SUM('DOE25'!H153:H161)</f>
        <v>254540.82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88050</v>
      </c>
      <c r="D91" s="131">
        <f>SUM(D85:D90)</f>
        <v>120540.38</v>
      </c>
      <c r="E91" s="131">
        <f>SUM(E85:E90)</f>
        <v>254540.82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2403.29</v>
      </c>
      <c r="E96" s="95">
        <f>'DOE25'!H179</f>
        <v>0</v>
      </c>
      <c r="F96" s="95">
        <f>'DOE25'!I179</f>
        <v>0</v>
      </c>
      <c r="G96" s="95">
        <f>'DOE25'!J179</f>
        <v>85790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53853.64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53853.64</v>
      </c>
      <c r="D103" s="86">
        <f>SUM(D93:D102)</f>
        <v>2403.29</v>
      </c>
      <c r="E103" s="86">
        <f>SUM(E93:E102)</f>
        <v>0</v>
      </c>
      <c r="F103" s="86">
        <f>SUM(F93:F102)</f>
        <v>0</v>
      </c>
      <c r="G103" s="86">
        <f>SUM(G93:G102)</f>
        <v>85790</v>
      </c>
    </row>
    <row r="104" spans="1:7" ht="12.75" thickTop="1" thickBot="1" x14ac:dyDescent="0.25">
      <c r="A104" s="33" t="s">
        <v>765</v>
      </c>
      <c r="C104" s="86">
        <f>C63+C81+C91+C103</f>
        <v>12395880.08</v>
      </c>
      <c r="D104" s="86">
        <f>D63+D81+D91+D103</f>
        <v>231454.67</v>
      </c>
      <c r="E104" s="86">
        <f>E63+E81+E91+E103</f>
        <v>254540.82</v>
      </c>
      <c r="F104" s="86">
        <f>F63+F81+F91+F103</f>
        <v>571.96</v>
      </c>
      <c r="G104" s="86">
        <f>G63+G81+G103</f>
        <v>89846.69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7353793.1000000006</v>
      </c>
      <c r="D109" s="24" t="s">
        <v>289</v>
      </c>
      <c r="E109" s="95">
        <f>('DOE25'!L276)+('DOE25'!L295)+('DOE25'!L314)</f>
        <v>121975.58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1992290.5</v>
      </c>
      <c r="D110" s="24" t="s">
        <v>289</v>
      </c>
      <c r="E110" s="95">
        <f>('DOE25'!L277)+('DOE25'!L296)+('DOE25'!L315)</f>
        <v>117709.93999999999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73107.62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9419191.2200000007</v>
      </c>
      <c r="D115" s="86">
        <f>SUM(D109:D114)</f>
        <v>0</v>
      </c>
      <c r="E115" s="86">
        <f>SUM(E109:E114)</f>
        <v>239685.52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419207.69999999995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176926.06</v>
      </c>
      <c r="D119" s="24" t="s">
        <v>289</v>
      </c>
      <c r="E119" s="95">
        <f>+('DOE25'!L282)+('DOE25'!L301)+('DOE25'!L320)</f>
        <v>14456.23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289266.49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366344.63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121029.66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901829.55999999994</v>
      </c>
      <c r="D123" s="24" t="s">
        <v>289</v>
      </c>
      <c r="E123" s="95">
        <f>+('DOE25'!L286)+('DOE25'!L305)+('DOE25'!L324)</f>
        <v>399.07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510077.57999999996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231454.66999999998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2784681.6799999997</v>
      </c>
      <c r="D128" s="86">
        <f>SUM(D118:D127)</f>
        <v>231454.66999999998</v>
      </c>
      <c r="E128" s="86">
        <f>SUM(E118:E127)</f>
        <v>14855.3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127160.08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53853.64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2403.29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41940.199999999997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47906.490000000005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-4056.6900000000023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215353.37</v>
      </c>
      <c r="D144" s="141">
        <f>SUM(D130:D143)</f>
        <v>0</v>
      </c>
      <c r="E144" s="141">
        <f>SUM(E130:E143)</f>
        <v>0</v>
      </c>
      <c r="F144" s="141">
        <f>SUM(F130:F143)</f>
        <v>53853.64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12419226.27</v>
      </c>
      <c r="D145" s="86">
        <f>(D115+D128+D144)</f>
        <v>231454.66999999998</v>
      </c>
      <c r="E145" s="86">
        <f>(E115+E128+E144)</f>
        <v>254540.81999999998</v>
      </c>
      <c r="F145" s="86">
        <f>(F115+F128+F144)</f>
        <v>53853.64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15779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15779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7475769</v>
      </c>
      <c r="D10" s="182">
        <f>ROUND((C10/$C$28)*100,1)</f>
        <v>59.4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2110000</v>
      </c>
      <c r="D11" s="182">
        <f>ROUND((C11/$C$28)*100,1)</f>
        <v>16.8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73108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419208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191382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289266</v>
      </c>
      <c r="D17" s="182">
        <f t="shared" si="0"/>
        <v>2.2999999999999998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366345</v>
      </c>
      <c r="D18" s="182">
        <f t="shared" si="0"/>
        <v>2.9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121030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902229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510078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126245.59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12584660.59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127160</v>
      </c>
    </row>
    <row r="30" spans="1:4" x14ac:dyDescent="0.2">
      <c r="B30" s="187" t="s">
        <v>729</v>
      </c>
      <c r="C30" s="180">
        <f>SUM(C28:C29)</f>
        <v>12711820.59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8523242</v>
      </c>
      <c r="D35" s="182">
        <f t="shared" ref="D35:D40" si="1">ROUND((C35/$C$41)*100,1)</f>
        <v>67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106139.0700000003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3616091</v>
      </c>
      <c r="D37" s="182">
        <f t="shared" si="1"/>
        <v>28.4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16435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463131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12725038.07</v>
      </c>
      <c r="D41" s="184">
        <f>SUM(D35:D40)</f>
        <v>99.899999999999977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Alton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2014-09-25T13:09:46Z</cp:lastPrinted>
  <dcterms:created xsi:type="dcterms:W3CDTF">1997-12-04T19:04:30Z</dcterms:created>
  <dcterms:modified xsi:type="dcterms:W3CDTF">2014-11-19T17:28:46Z</dcterms:modified>
</cp:coreProperties>
</file>