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665" i="1" l="1"/>
  <c r="B20" i="12" l="1"/>
  <c r="B11" i="12"/>
  <c r="B10" i="12"/>
  <c r="F499" i="1" l="1"/>
  <c r="G502" i="1"/>
  <c r="G498" i="1"/>
  <c r="F498" i="1"/>
  <c r="J472" i="1"/>
  <c r="I472" i="1"/>
  <c r="H472" i="1"/>
  <c r="G472" i="1"/>
  <c r="F472" i="1"/>
  <c r="G468" i="1"/>
  <c r="H468" i="1"/>
  <c r="I468" i="1"/>
  <c r="J468" i="1"/>
  <c r="F468" i="1"/>
  <c r="G429" i="1"/>
  <c r="H429" i="1"/>
  <c r="I403" i="1"/>
  <c r="G459" i="1" l="1"/>
  <c r="I48" i="1"/>
  <c r="G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E131" i="2" s="1"/>
  <c r="L342" i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J140" i="1" s="1"/>
  <c r="F147" i="1"/>
  <c r="C85" i="2" s="1"/>
  <c r="F162" i="1"/>
  <c r="G147" i="1"/>
  <c r="D85" i="2" s="1"/>
  <c r="G162" i="1"/>
  <c r="H147" i="1"/>
  <c r="H162" i="1"/>
  <c r="I147" i="1"/>
  <c r="I162" i="1"/>
  <c r="L250" i="1"/>
  <c r="C113" i="2" s="1"/>
  <c r="L332" i="1"/>
  <c r="E113" i="2" s="1"/>
  <c r="L254" i="1"/>
  <c r="L268" i="1"/>
  <c r="C142" i="2" s="1"/>
  <c r="L269" i="1"/>
  <c r="L349" i="1"/>
  <c r="E142" i="2" s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F461" i="1" s="1"/>
  <c r="H639" i="1" s="1"/>
  <c r="G452" i="1"/>
  <c r="H452" i="1"/>
  <c r="F460" i="1"/>
  <c r="G460" i="1"/>
  <c r="G461" i="1" s="1"/>
  <c r="H640" i="1" s="1"/>
  <c r="H460" i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G644" i="1"/>
  <c r="G651" i="1"/>
  <c r="G652" i="1"/>
  <c r="H652" i="1"/>
  <c r="G653" i="1"/>
  <c r="H653" i="1"/>
  <c r="G654" i="1"/>
  <c r="H654" i="1"/>
  <c r="H655" i="1"/>
  <c r="J655" i="1" s="1"/>
  <c r="E78" i="2"/>
  <c r="G22" i="2"/>
  <c r="J476" i="1" l="1"/>
  <c r="H626" i="1" s="1"/>
  <c r="F476" i="1"/>
  <c r="H622" i="1" s="1"/>
  <c r="G476" i="1"/>
  <c r="H623" i="1" s="1"/>
  <c r="J623" i="1" s="1"/>
  <c r="C25" i="10"/>
  <c r="E125" i="2"/>
  <c r="E112" i="2"/>
  <c r="D19" i="13"/>
  <c r="C19" i="13" s="1"/>
  <c r="G408" i="1"/>
  <c r="H645" i="1" s="1"/>
  <c r="C91" i="2"/>
  <c r="D50" i="2"/>
  <c r="K550" i="1"/>
  <c r="H169" i="1"/>
  <c r="F169" i="1"/>
  <c r="D18" i="13"/>
  <c r="C18" i="13" s="1"/>
  <c r="L524" i="1"/>
  <c r="J552" i="1"/>
  <c r="F552" i="1"/>
  <c r="A13" i="12"/>
  <c r="L570" i="1"/>
  <c r="F408" i="1"/>
  <c r="H643" i="1" s="1"/>
  <c r="J640" i="1"/>
  <c r="I408" i="1"/>
  <c r="L534" i="1"/>
  <c r="G161" i="2"/>
  <c r="I169" i="1"/>
  <c r="D91" i="2"/>
  <c r="H140" i="1"/>
  <c r="G62" i="2"/>
  <c r="G63" i="2" s="1"/>
  <c r="E123" i="2"/>
  <c r="K605" i="1"/>
  <c r="G648" i="1" s="1"/>
  <c r="E121" i="2"/>
  <c r="E120" i="2"/>
  <c r="E119" i="2"/>
  <c r="H338" i="1"/>
  <c r="H352" i="1" s="1"/>
  <c r="C11" i="10"/>
  <c r="G338" i="1"/>
  <c r="G352" i="1" s="1"/>
  <c r="F338" i="1"/>
  <c r="F352" i="1" s="1"/>
  <c r="L290" i="1"/>
  <c r="H545" i="1"/>
  <c r="L427" i="1"/>
  <c r="L419" i="1"/>
  <c r="F192" i="1"/>
  <c r="E110" i="2"/>
  <c r="L401" i="1"/>
  <c r="C139" i="2" s="1"/>
  <c r="L393" i="1"/>
  <c r="C138" i="2" s="1"/>
  <c r="A31" i="12"/>
  <c r="E114" i="2"/>
  <c r="L328" i="1"/>
  <c r="L309" i="1"/>
  <c r="D17" i="13"/>
  <c r="C17" i="13" s="1"/>
  <c r="C123" i="2"/>
  <c r="L565" i="1"/>
  <c r="H571" i="1"/>
  <c r="F78" i="2"/>
  <c r="F81" i="2" s="1"/>
  <c r="C78" i="2"/>
  <c r="C81" i="2" s="1"/>
  <c r="D62" i="2"/>
  <c r="D63" i="2" s="1"/>
  <c r="G552" i="1"/>
  <c r="F130" i="2"/>
  <c r="F144" i="2" s="1"/>
  <c r="F145" i="2" s="1"/>
  <c r="F571" i="1"/>
  <c r="H461" i="1"/>
  <c r="H641" i="1" s="1"/>
  <c r="J641" i="1" s="1"/>
  <c r="K338" i="1"/>
  <c r="K352" i="1" s="1"/>
  <c r="C16" i="10"/>
  <c r="C125" i="2"/>
  <c r="E62" i="2"/>
  <c r="E63" i="2" s="1"/>
  <c r="C70" i="2"/>
  <c r="C21" i="10"/>
  <c r="C122" i="2"/>
  <c r="C121" i="2"/>
  <c r="C119" i="2"/>
  <c r="C118" i="2"/>
  <c r="J643" i="1"/>
  <c r="I257" i="1"/>
  <c r="I271" i="1" s="1"/>
  <c r="F112" i="1"/>
  <c r="E122" i="2"/>
  <c r="C10" i="10"/>
  <c r="L247" i="1"/>
  <c r="L229" i="1"/>
  <c r="C12" i="10"/>
  <c r="G645" i="1"/>
  <c r="K598" i="1"/>
  <c r="G647" i="1" s="1"/>
  <c r="I571" i="1"/>
  <c r="J571" i="1"/>
  <c r="K571" i="1"/>
  <c r="L560" i="1"/>
  <c r="K500" i="1"/>
  <c r="I476" i="1"/>
  <c r="H625" i="1" s="1"/>
  <c r="H257" i="1"/>
  <c r="H271" i="1" s="1"/>
  <c r="C32" i="10"/>
  <c r="C20" i="10"/>
  <c r="D7" i="13"/>
  <c r="C7" i="13" s="1"/>
  <c r="J645" i="1"/>
  <c r="E118" i="2"/>
  <c r="K545" i="1"/>
  <c r="G545" i="1"/>
  <c r="J545" i="1"/>
  <c r="J644" i="1"/>
  <c r="G257" i="1"/>
  <c r="G271" i="1" s="1"/>
  <c r="G164" i="2"/>
  <c r="G156" i="2"/>
  <c r="C114" i="2"/>
  <c r="E103" i="2"/>
  <c r="D81" i="2"/>
  <c r="K551" i="1"/>
  <c r="H552" i="1"/>
  <c r="K549" i="1"/>
  <c r="C26" i="10"/>
  <c r="E8" i="13"/>
  <c r="C8" i="13" s="1"/>
  <c r="J639" i="1"/>
  <c r="D12" i="13"/>
  <c r="C12" i="13" s="1"/>
  <c r="J651" i="1"/>
  <c r="L544" i="1"/>
  <c r="F22" i="13"/>
  <c r="C22" i="13" s="1"/>
  <c r="H112" i="1"/>
  <c r="I545" i="1"/>
  <c r="I460" i="1"/>
  <c r="I452" i="1"/>
  <c r="I446" i="1"/>
  <c r="G642" i="1" s="1"/>
  <c r="L433" i="1"/>
  <c r="L434" i="1" s="1"/>
  <c r="G638" i="1" s="1"/>
  <c r="J638" i="1" s="1"/>
  <c r="J257" i="1"/>
  <c r="J271" i="1" s="1"/>
  <c r="G192" i="1"/>
  <c r="G157" i="2"/>
  <c r="C13" i="10"/>
  <c r="E16" i="13"/>
  <c r="C16" i="13" s="1"/>
  <c r="D14" i="13"/>
  <c r="C14" i="13" s="1"/>
  <c r="E13" i="13"/>
  <c r="C13" i="13" s="1"/>
  <c r="C18" i="10"/>
  <c r="C17" i="10"/>
  <c r="C112" i="2"/>
  <c r="L211" i="1"/>
  <c r="A40" i="12"/>
  <c r="F257" i="1"/>
  <c r="F271" i="1" s="1"/>
  <c r="C110" i="2"/>
  <c r="D5" i="13"/>
  <c r="C5" i="13" s="1"/>
  <c r="C132" i="2"/>
  <c r="L270" i="1"/>
  <c r="K257" i="1"/>
  <c r="K271" i="1" s="1"/>
  <c r="L256" i="1"/>
  <c r="G661" i="1"/>
  <c r="D29" i="13"/>
  <c r="C29" i="13" s="1"/>
  <c r="L362" i="1"/>
  <c r="C27" i="10" s="1"/>
  <c r="H661" i="1"/>
  <c r="J634" i="1"/>
  <c r="I52" i="1"/>
  <c r="H620" i="1" s="1"/>
  <c r="J620" i="1" s="1"/>
  <c r="F18" i="2"/>
  <c r="J624" i="1"/>
  <c r="H52" i="1"/>
  <c r="H619" i="1" s="1"/>
  <c r="J619" i="1" s="1"/>
  <c r="E31" i="2"/>
  <c r="D31" i="2"/>
  <c r="D18" i="2"/>
  <c r="J622" i="1"/>
  <c r="J617" i="1"/>
  <c r="C18" i="2"/>
  <c r="E109" i="2"/>
  <c r="C62" i="2"/>
  <c r="F661" i="1"/>
  <c r="C19" i="10"/>
  <c r="C15" i="10"/>
  <c r="G112" i="1"/>
  <c r="H660" i="1"/>
  <c r="L539" i="1"/>
  <c r="K503" i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56" i="2"/>
  <c r="F662" i="1"/>
  <c r="I662" i="1" s="1"/>
  <c r="L382" i="1"/>
  <c r="G636" i="1" s="1"/>
  <c r="J636" i="1" s="1"/>
  <c r="H25" i="13"/>
  <c r="E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G140" i="1"/>
  <c r="F140" i="1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J625" i="1" l="1"/>
  <c r="H193" i="1"/>
  <c r="G629" i="1" s="1"/>
  <c r="J629" i="1" s="1"/>
  <c r="L571" i="1"/>
  <c r="D51" i="2"/>
  <c r="C144" i="2"/>
  <c r="D104" i="2"/>
  <c r="C39" i="10"/>
  <c r="I461" i="1"/>
  <c r="H642" i="1" s="1"/>
  <c r="J642" i="1" s="1"/>
  <c r="J647" i="1"/>
  <c r="E128" i="2"/>
  <c r="L338" i="1"/>
  <c r="L352" i="1" s="1"/>
  <c r="G633" i="1" s="1"/>
  <c r="J633" i="1" s="1"/>
  <c r="E115" i="2"/>
  <c r="G660" i="1"/>
  <c r="G664" i="1" s="1"/>
  <c r="G667" i="1" s="1"/>
  <c r="D31" i="13"/>
  <c r="C31" i="13" s="1"/>
  <c r="F660" i="1"/>
  <c r="F664" i="1" s="1"/>
  <c r="E104" i="2"/>
  <c r="L545" i="1"/>
  <c r="F193" i="1"/>
  <c r="G627" i="1" s="1"/>
  <c r="J627" i="1" s="1"/>
  <c r="G104" i="2"/>
  <c r="I193" i="1"/>
  <c r="G630" i="1" s="1"/>
  <c r="J630" i="1" s="1"/>
  <c r="C36" i="10"/>
  <c r="C115" i="2"/>
  <c r="E33" i="13"/>
  <c r="D35" i="13" s="1"/>
  <c r="K552" i="1"/>
  <c r="F104" i="2"/>
  <c r="C128" i="2"/>
  <c r="L257" i="1"/>
  <c r="L271" i="1" s="1"/>
  <c r="G632" i="1" s="1"/>
  <c r="J632" i="1" s="1"/>
  <c r="C28" i="10"/>
  <c r="D19" i="10" s="1"/>
  <c r="G635" i="1"/>
  <c r="J635" i="1" s="1"/>
  <c r="H664" i="1"/>
  <c r="H672" i="1" s="1"/>
  <c r="C6" i="10" s="1"/>
  <c r="I661" i="1"/>
  <c r="F51" i="2"/>
  <c r="E51" i="2"/>
  <c r="H648" i="1"/>
  <c r="J648" i="1" s="1"/>
  <c r="C63" i="2"/>
  <c r="C104" i="2" s="1"/>
  <c r="C25" i="13"/>
  <c r="H33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E145" i="2" l="1"/>
  <c r="D33" i="13"/>
  <c r="D36" i="13" s="1"/>
  <c r="I660" i="1"/>
  <c r="I664" i="1" s="1"/>
  <c r="I672" i="1" s="1"/>
  <c r="C7" i="10" s="1"/>
  <c r="C145" i="2"/>
  <c r="G672" i="1"/>
  <c r="C5" i="10" s="1"/>
  <c r="D21" i="10"/>
  <c r="D24" i="10"/>
  <c r="D18" i="10"/>
  <c r="D27" i="10"/>
  <c r="C30" i="10"/>
  <c r="D26" i="10"/>
  <c r="D10" i="10"/>
  <c r="D13" i="10"/>
  <c r="D17" i="10"/>
  <c r="D16" i="10"/>
  <c r="D23" i="10"/>
  <c r="D11" i="10"/>
  <c r="D12" i="10"/>
  <c r="D22" i="10"/>
  <c r="D20" i="10"/>
  <c r="D15" i="10"/>
  <c r="D25" i="10"/>
  <c r="H667" i="1"/>
  <c r="G637" i="1"/>
  <c r="J637" i="1" s="1"/>
  <c r="H646" i="1"/>
  <c r="J646" i="1" s="1"/>
  <c r="F672" i="1"/>
  <c r="C4" i="10" s="1"/>
  <c r="F667" i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<sst xmlns="http://schemas.openxmlformats.org/spreadsheetml/2006/main" count="3962" uniqueCount="919">
  <si>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</si>
  <si>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</si>
  <si>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</si>
  <si>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</si>
  <si>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</si>
  <si>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</si>
  <si>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</si>
  <si>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</si>
  <si>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</si>
  <si>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</si>
  <si>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</si>
  <si>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</si>
  <si>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</si>
  <si>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</si>
  <si>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</si>
  <si>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</si>
  <si>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</si>
  <si>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</si>
  <si>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</si>
  <si>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</si>
  <si>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</si>
  <si>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</si>
  <si>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</si>
  <si>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</si>
  <si>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</si>
  <si>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</si>
  <si>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</si>
  <si>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</si>
  <si>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</si>
  <si>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</si>
  <si>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</si>
  <si>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</si>
  <si>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</si>
  <si>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</si>
  <si>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</si>
  <si>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</si>
  <si>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</si>
  <si>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</si>
  <si>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</si>
  <si>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</si>
  <si>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</si>
  <si>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</si>
  <si>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</si>
  <si>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</si>
  <si>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</si>
  <si>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</si>
  <si>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</si>
  <si>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</si>
  <si>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</si>
  <si>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</si>
  <si>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</si>
  <si>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</si>
  <si>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</si>
  <si>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</si>
  <si>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</si>
  <si>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</si>
  <si>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</si>
  <si>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</si>
  <si>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</si>
  <si>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</si>
  <si>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</si>
  <si>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</si>
  <si>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</si>
  <si>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</si>
  <si>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</si>
  <si>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</si>
  <si>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</si>
  <si>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</si>
  <si>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</si>
  <si>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</si>
  <si>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</si>
  <si>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</si>
  <si>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</si>
  <si>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</si>
  <si>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</si>
  <si>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</si>
  <si>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</si>
  <si>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</si>
  <si>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</si>
  <si>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</si>
  <si>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</si>
  <si>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</si>
  <si>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</si>
  <si>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</si>
  <si>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</si>
  <si>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</si>
  <si>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</si>
  <si>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</si>
  <si>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</si>
  <si>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</si>
  <si>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</si>
  <si>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</si>
  <si>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</si>
  <si>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</si>
  <si>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</si>
  <si>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</si>
  <si>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</si>
  <si>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</si>
  <si>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</si>
  <si>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</si>
  <si>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</si>
  <si>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</si>
  <si>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</si>
  <si>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</si>
  <si>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</si>
  <si>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</si>
  <si>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</si>
  <si>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</si>
  <si>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</si>
  <si>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</si>
  <si>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</si>
  <si>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</si>
  <si>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</si>
  <si>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</si>
  <si>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</si>
  <si>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</si>
  <si>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</si>
  <si>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</si>
  <si>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</si>
  <si>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</si>
  <si>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</si>
  <si>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</si>
  <si>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</si>
  <si>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</si>
  <si>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</si>
  <si>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</si>
  <si>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</si>
  <si>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</si>
  <si>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</si>
  <si>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</si>
  <si>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</si>
  <si>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</si>
  <si>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</si>
  <si>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</si>
  <si>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</si>
  <si>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</si>
  <si>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</si>
  <si>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</si>
  <si>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</si>
  <si>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</si>
  <si>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</si>
  <si>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</si>
  <si>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</si>
  <si>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</si>
  <si>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</si>
  <si>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</si>
  <si>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</si>
  <si>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</si>
  <si>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</si>
  <si>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</si>
  <si>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</si>
  <si>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</si>
  <si>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</si>
  <si>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</si>
  <si>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</si>
  <si>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</si>
  <si>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</si>
  <si>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</si>
  <si>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</si>
  <si>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</si>
  <si>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</si>
  <si>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</si>
  <si>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</si>
  <si>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</si>
  <si>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</si>
  <si>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</si>
  <si>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</si>
  <si>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</si>
  <si>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</si>
  <si>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</si>
  <si>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</si>
  <si>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</si>
  <si>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</si>
  <si>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</si>
  <si>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</si>
  <si>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</si>
  <si>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</si>
  <si>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</si>
  <si>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</si>
  <si>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</si>
  <si>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</si>
  <si>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</si>
  <si>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</si>
  <si>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</si>
  <si>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</si>
  <si>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</si>
  <si>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</si>
  <si>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</si>
  <si>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</si>
  <si>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</si>
  <si>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</si>
  <si>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</si>
  <si>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</si>
  <si>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</si>
  <si>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</si>
  <si>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</si>
  <si>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</si>
  <si>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</si>
  <si>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</si>
  <si>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</si>
  <si>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</si>
  <si>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</si>
  <si>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</si>
  <si>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</si>
  <si>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</si>
  <si>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</si>
  <si>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</si>
  <si>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</si>
  <si>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</si>
  <si>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</si>
  <si>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</si>
  <si>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</si>
  <si>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</si>
  <si>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</si>
  <si>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</si>
  <si>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</si>
  <si>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</si>
  <si>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</si>
  <si>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</si>
  <si>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</si>
  <si>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</si>
  <si>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</si>
  <si>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</si>
  <si>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</si>
  <si>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</si>
  <si>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</si>
  <si>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</si>
  <si>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</si>
  <si>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</si>
  <si>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</si>
  <si>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</si>
  <si>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</si>
  <si>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</si>
  <si>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</si>
  <si>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</si>
  <si>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</si>
  <si>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</si>
  <si>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</si>
  <si>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</si>
  <si>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</si>
  <si>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</si>
  <si>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</si>
  <si>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</si>
  <si>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</si>
  <si>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</si>
  <si>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</si>
  <si>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</si>
  <si>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</si>
  <si>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</si>
  <si>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</si>
  <si>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</si>
  <si>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</si>
  <si>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</si>
  <si>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</si>
  <si>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</si>
  <si>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</si>
  <si>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</si>
  <si>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</si>
  <si>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</si>
  <si>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</si>
  <si>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</si>
  <si>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</si>
  <si>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</si>
  <si>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</si>
  <si>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</si>
  <si>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</si>
  <si>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</si>
  <si>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</si>
  <si>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</si>
  <si>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</si>
  <si>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</si>
  <si>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</si>
  <si>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</si>
  <si>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</si>
  <si>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</si>
  <si>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</si>
  <si>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</si>
  <si>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</si>
  <si>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</si>
  <si>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</si>
  <si>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</si>
  <si>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</si>
  <si>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</si>
  <si>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</si>
  <si>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</si>
  <si>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</si>
  <si>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</si>
  <si>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</si>
  <si>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</si>
  <si>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</si>
  <si>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</si>
  <si>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</si>
  <si>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</si>
  <si>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</si>
  <si>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</si>
  <si>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</si>
  <si>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</si>
  <si>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</si>
  <si>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</si>
  <si>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</si>
  <si>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</si>
  <si>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</si>
  <si>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</si>
  <si>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</si>
  <si>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</si>
  <si>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</si>
  <si>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</si>
  <si>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</si>
  <si>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</si>
  <si>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</si>
  <si>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</si>
  <si>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</si>
  <si>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</si>
  <si>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</si>
  <si>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</si>
  <si>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</si>
  <si>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</si>
  <si>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</si>
  <si>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</si>
  <si>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</si>
  <si>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</si>
  <si>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</si>
  <si>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</si>
  <si>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</si>
  <si>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</si>
  <si>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</si>
  <si>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</si>
  <si>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</si>
  <si>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</si>
  <si>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</si>
  <si>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</si>
  <si>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</si>
  <si>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</si>
  <si>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</si>
  <si>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</si>
  <si>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</si>
  <si>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</si>
  <si>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</si>
  <si>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</si>
  <si>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</si>
  <si>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</si>
  <si>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</si>
  <si>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</si>
  <si>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</si>
  <si>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</si>
  <si>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</si>
  <si>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</si>
  <si>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</si>
  <si>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</si>
  <si>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</si>
  <si>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</si>
  <si>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</si>
  <si>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</si>
  <si>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</si>
  <si>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</si>
  <si>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</si>
  <si>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</si>
  <si>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</si>
  <si>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</si>
  <si>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</si>
  <si>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</si>
  <si>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</si>
  <si>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</si>
  <si>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</si>
  <si>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</si>
  <si>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</si>
  <si>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</si>
  <si>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</si>
  <si>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</si>
  <si>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</si>
  <si>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</si>
  <si>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</si>
  <si>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</si>
  <si>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</si>
  <si>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</si>
  <si>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</si>
  <si>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</si>
  <si>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</si>
  <si>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</si>
  <si>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</si>
  <si>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</si>
  <si>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</si>
  <si>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</si>
  <si>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</si>
  <si>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</si>
  <si>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</si>
  <si>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</si>
  <si>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</si>
  <si>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</si>
  <si>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</si>
  <si>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</si>
  <si>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</si>
  <si>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</si>
  <si>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</si>
  <si>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</si>
  <si>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</si>
  <si>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</si>
  <si>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</si>
  <si>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</si>
  <si>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</si>
  <si>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</si>
  <si>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</si>
  <si>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</si>
  <si>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</si>
  <si>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</si>
  <si>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</si>
  <si>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</si>
  <si>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</si>
  <si>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</si>
  <si>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</si>
  <si>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</si>
  <si>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</si>
  <si>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</si>
  <si>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</si>
  <si>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</si>
  <si>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</si>
  <si>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</si>
  <si>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</si>
  <si>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</si>
  <si>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</si>
  <si>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</si>
  <si>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</si>
  <si>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</si>
  <si>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</si>
  <si>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</si>
  <si>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</si>
  <si>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</si>
  <si>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</si>
  <si>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</si>
  <si>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</si>
  <si>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</si>
  <si>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</si>
  <si>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</si>
  <si>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</si>
  <si>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</si>
  <si>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</si>
  <si>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</si>
  <si>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</si>
  <si>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</si>
  <si>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</si>
  <si>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</si>
  <si>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</si>
  <si>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</si>
  <si>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</si>
  <si>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</si>
  <si>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</si>
  <si>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</si>
  <si>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</si>
  <si>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</si>
  <si>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</si>
  <si>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</si>
  <si>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</si>
  <si>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</si>
  <si>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</si>
  <si>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</si>
  <si>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</si>
  <si>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</si>
  <si>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</si>
  <si>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</si>
  <si>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</si>
  <si>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</si>
  <si>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</si>
  <si>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</si>
  <si>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</si>
  <si>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</si>
  <si>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</si>
  <si>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</si>
  <si>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</si>
  <si>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</si>
  <si>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</si>
  <si>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</si>
  <si>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</si>
  <si>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</si>
  <si>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</si>
  <si>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</si>
  <si>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</si>
  <si>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</si>
  <si>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</si>
  <si>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</si>
  <si>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</si>
  <si>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</si>
  <si>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</si>
  <si>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</si>
  <si>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</si>
  <si>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</si>
  <si>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</si>
  <si>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</si>
  <si>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</si>
  <si>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</si>
  <si>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</si>
  <si>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</si>
  <si>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</si>
  <si>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</si>
  <si>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</si>
  <si>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</si>
  <si>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</si>
  <si>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</si>
  <si>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</si>
  <si>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</si>
  <si>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</si>
  <si>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</si>
  <si>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</si>
  <si>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</si>
  <si>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</si>
  <si>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</si>
  <si>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</si>
  <si>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</si>
  <si>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</si>
  <si>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</si>
  <si>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</si>
  <si>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</si>
  <si>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</si>
  <si>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</si>
  <si>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</si>
  <si>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</si>
  <si>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</si>
  <si>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</si>
  <si>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</si>
  <si>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</si>
  <si>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</si>
  <si>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</si>
  <si>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</si>
  <si>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</si>
  <si>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</si>
  <si>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</si>
  <si>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</si>
  <si>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</si>
  <si>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</si>
  <si>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</si>
  <si>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</si>
  <si>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</si>
  <si>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</si>
  <si>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</si>
  <si>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</si>
  <si>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</si>
  <si>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</si>
  <si>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</si>
  <si>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</si>
  <si>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</si>
  <si>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</si>
  <si>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</si>
  <si>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</si>
  <si>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</si>
  <si>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</si>
  <si>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</si>
  <si>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</si>
  <si>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</si>
  <si>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</si>
  <si>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</si>
  <si>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</si>
  <si>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</si>
  <si>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</si>
  <si>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</si>
  <si>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</si>
  <si>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</si>
  <si>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</si>
  <si>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</si>
  <si>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</si>
  <si>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</si>
  <si>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</si>
  <si>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</si>
  <si>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</si>
  <si>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</si>
  <si>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</si>
  <si>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</si>
  <si>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</si>
  <si>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</si>
  <si>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</si>
  <si>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</si>
  <si>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</si>
  <si>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</si>
  <si>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</si>
  <si>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</si>
  <si>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</si>
  <si>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</si>
  <si>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</si>
  <si>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</si>
  <si>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</si>
  <si>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</si>
  <si>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</si>
  <si>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</si>
  <si>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</si>
  <si>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</si>
  <si>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</si>
  <si>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</si>
  <si>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</si>
  <si>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</si>
  <si>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</si>
  <si>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</si>
  <si>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</si>
  <si>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</si>
  <si>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</si>
  <si>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</si>
  <si>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</si>
  <si>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</si>
  <si>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</si>
  <si>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</si>
  <si>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</si>
  <si>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</si>
  <si>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</si>
  <si>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</si>
  <si>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</si>
  <si>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</si>
  <si>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</si>
  <si>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</si>
  <si>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</si>
  <si>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</si>
  <si>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</si>
  <si>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</si>
  <si>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</si>
  <si>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</si>
  <si>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</si>
  <si>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</si>
  <si>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</si>
  <si>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</si>
  <si>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</si>
  <si>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</si>
  <si>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</si>
  <si>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</si>
  <si>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</si>
  <si>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</si>
  <si>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</si>
  <si>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</si>
  <si>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</si>
  <si>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</si>
  <si>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</si>
  <si>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</si>
  <si>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</si>
  <si>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</si>
  <si>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</si>
  <si>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</si>
  <si>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</si>
  <si>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</si>
  <si>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</si>
  <si>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</si>
  <si>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</si>
  <si>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</si>
  <si>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</si>
  <si>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</si>
  <si>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</si>
  <si>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</si>
  <si>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</si>
  <si>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</si>
  <si>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</si>
  <si>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</si>
  <si>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</si>
  <si>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</si>
  <si>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</si>
  <si>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</si>
  <si>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</si>
  <si>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</si>
  <si>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</si>
  <si>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</si>
  <si>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</si>
  <si>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</si>
  <si>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</si>
  <si>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</si>
  <si>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</si>
  <si>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</si>
  <si>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</si>
  <si>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</si>
  <si>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</si>
  <si>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</si>
  <si>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</si>
  <si>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</si>
  <si>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</si>
  <si>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</si>
  <si>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</si>
  <si>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</si>
  <si>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</si>
  <si>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</si>
  <si>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</si>
  <si>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</si>
  <si>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</si>
  <si>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</si>
  <si>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</si>
  <si>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</si>
  <si>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</si>
  <si>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</si>
  <si>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</si>
  <si>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</si>
  <si>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</si>
  <si>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</si>
  <si>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</si>
  <si>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</si>
  <si>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</si>
  <si>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</si>
  <si>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</si>
  <si>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</si>
  <si>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</si>
  <si>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</si>
  <si>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</si>
  <si>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</si>
  <si>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</si>
  <si>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</si>
  <si>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</si>
  <si>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</si>
  <si>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</si>
  <si>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</si>
  <si>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</si>
  <si>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</si>
  <si>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</si>
  <si>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</si>
  <si>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</si>
  <si>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</si>
  <si>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</si>
  <si>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</si>
  <si>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</si>
  <si>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</si>
  <si>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</si>
  <si>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</si>
  <si>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</si>
  <si>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</si>
  <si>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</si>
  <si>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</si>
  <si>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</si>
  <si>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</si>
  <si>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</si>
  <si>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</si>
  <si>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</si>
  <si>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</si>
  <si>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</si>
  <si>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</si>
  <si>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</si>
  <si>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</si>
  <si>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</si>
  <si>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</si>
  <si>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</si>
  <si>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</si>
  <si>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</si>
  <si>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</si>
  <si>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</si>
  <si>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</si>
  <si>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</si>
  <si>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</si>
  <si>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</si>
  <si>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</si>
  <si>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</si>
  <si>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</si>
  <si>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</si>
  <si>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</si>
  <si>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</si>
  <si>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</si>
  <si>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</si>
  <si>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</si>
  <si>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</si>
  <si>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</si>
  <si>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</si>
  <si>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</si>
  <si>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</si>
  <si>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</si>
  <si>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</si>
  <si>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</si>
  <si>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</si>
  <si>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</si>
  <si>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</si>
  <si>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</si>
  <si>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</si>
  <si>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</si>
  <si>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</si>
  <si>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</si>
  <si>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</si>
  <si>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</si>
  <si>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</si>
  <si>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</si>
  <si>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</si>
  <si>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</si>
  <si>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</si>
  <si>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</si>
  <si>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</si>
  <si>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</si>
  <si>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</si>
  <si>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</si>
  <si>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</si>
  <si>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</si>
  <si>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</si>
  <si>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</si>
  <si>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</si>
  <si>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</si>
  <si>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</si>
  <si>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</si>
  <si>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</si>
  <si>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</si>
  <si>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</si>
  <si>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</si>
  <si>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</si>
  <si>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</si>
  <si>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</si>
  <si>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</si>
  <si>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</si>
  <si>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</si>
  <si>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</si>
  <si>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</si>
  <si>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</si>
  <si>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</si>
  <si>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</si>
  <si>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</si>
  <si>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</si>
  <si>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</si>
  <si>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</si>
  <si>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</si>
  <si>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</si>
  <si>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</si>
  <si>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</si>
  <si>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</si>
  <si>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</si>
  <si>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</si>
  <si>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</si>
  <si>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</si>
  <si>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</si>
  <si>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</si>
  <si>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</si>
  <si>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</si>
  <si>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</si>
  <si>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</si>
  <si>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</si>
  <si>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</si>
  <si>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</si>
  <si>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</si>
  <si>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</si>
  <si>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</si>
  <si>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</si>
  <si>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</si>
  <si>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</si>
  <si>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</si>
  <si>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</si>
  <si>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</si>
  <si>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</si>
  <si>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</si>
  <si>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</si>
  <si>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</si>
  <si>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</si>
  <si>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</si>
  <si>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</si>
  <si>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</si>
  <si>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</si>
  <si>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</si>
  <si>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</si>
  <si>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</si>
  <si>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</si>
  <si>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</si>
  <si>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</si>
  <si>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</si>
  <si>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</si>
  <si>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</si>
  <si>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</si>
  <si>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</si>
  <si>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</si>
  <si>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</si>
  <si>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</si>
  <si>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</si>
  <si>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</si>
  <si>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</si>
  <si>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</si>
  <si>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</si>
  <si>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</si>
  <si>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</si>
  <si>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</si>
  <si>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</si>
  <si>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</si>
  <si>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</si>
  <si>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</si>
  <si>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</si>
  <si>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</si>
  <si>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</si>
  <si>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</si>
  <si>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</si>
  <si>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</si>
  <si>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</si>
  <si>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</si>
  <si>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</si>
  <si>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</si>
  <si>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</si>
  <si>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</si>
  <si>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</si>
  <si>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</si>
  <si>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</si>
  <si>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</si>
  <si>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</si>
  <si>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</si>
  <si>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</si>
  <si>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</si>
  <si>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</si>
  <si>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</si>
  <si>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</si>
  <si>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</si>
  <si>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</si>
  <si>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</si>
  <si>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</si>
  <si>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</si>
  <si>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</si>
  <si>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</si>
  <si>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</si>
  <si>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</si>
  <si>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</si>
  <si>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</si>
  <si>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</si>
  <si>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</si>
  <si>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</si>
  <si>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</si>
  <si>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</si>
  <si>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</si>
  <si>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</si>
  <si>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</si>
  <si>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</si>
  <si>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</si>
  <si>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</si>
  <si>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</si>
  <si>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</si>
  <si>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</si>
  <si>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</si>
  <si>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AMHERST SCHOOL DISTRICT</t>
  </si>
  <si>
    <t>Agency Funds</t>
  </si>
  <si>
    <t>07/21</t>
  </si>
  <si>
    <t>07/08</t>
  </si>
  <si>
    <t>08/28</t>
  </si>
  <si>
    <t xml:space="preserve">Write off of pr yr uncollected </t>
  </si>
  <si>
    <t>12/11</t>
  </si>
  <si>
    <t>Health Trust &amp; Property Liability Trust - Local Gov't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</si>
</sst>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36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17</v>
      </c>
      <c r="C2" s="21">
        <v>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-461071.03</v>
      </c>
      <c r="G9" s="18">
        <v>0</v>
      </c>
      <c r="H9" s="18">
        <v>0</v>
      </c>
      <c r="I9" s="18">
        <v>30.94</v>
      </c>
      <c r="J9" s="67">
        <f>SUM(I439)</f>
        <v>63593.599999999999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1509638.58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90749.81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141959.29</v>
      </c>
      <c r="G13" s="18">
        <v>12604.83</v>
      </c>
      <c r="H13" s="18">
        <v>86190.78</v>
      </c>
      <c r="I13" s="18">
        <v>0</v>
      </c>
      <c r="J13" s="67">
        <f>SUM(I442)</f>
        <v>97203.29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7542.2</v>
      </c>
      <c r="G14" s="18">
        <v>63.78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8075.5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1296894.3500000001</v>
      </c>
      <c r="G19" s="41">
        <f>SUM(G9:G18)</f>
        <v>12668.61</v>
      </c>
      <c r="H19" s="41">
        <f>SUM(H9:H18)</f>
        <v>86190.78</v>
      </c>
      <c r="I19" s="41">
        <f>SUM(I9:I18)</f>
        <v>30.94</v>
      </c>
      <c r="J19" s="41">
        <f>SUM(J9:J18)</f>
        <v>160796.88999999998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5031.99</v>
      </c>
      <c r="H22" s="18">
        <v>85717.82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4609.97</v>
      </c>
      <c r="G23" s="18">
        <v>20434.919999999998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234240.01</v>
      </c>
      <c r="G24" s="18">
        <v>448.75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545.85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22257.49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2350</v>
      </c>
      <c r="G30" s="18">
        <v>0</v>
      </c>
      <c r="H30" s="18">
        <v>472.96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56.7</v>
      </c>
      <c r="G31" s="18">
        <v>0</v>
      </c>
      <c r="H31" s="18">
        <v>0</v>
      </c>
      <c r="I31" s="18">
        <v>0</v>
      </c>
      <c r="J31" s="67">
        <f>SUM(I451)</f>
        <v>63593.599999999999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264060.02</v>
      </c>
      <c r="G32" s="41">
        <f>SUM(G22:G31)</f>
        <v>25915.659999999996</v>
      </c>
      <c r="H32" s="41">
        <f>SUM(H22:H31)</f>
        <v>86190.780000000013</v>
      </c>
      <c r="I32" s="41">
        <f>SUM(I22:I31)</f>
        <v>0</v>
      </c>
      <c r="J32" s="41">
        <f>SUM(J22:J31)</f>
        <v>63593.599999999999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50000</v>
      </c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420.85</v>
      </c>
      <c r="G48" s="18">
        <f>6288.4+-19877.45</f>
        <v>-13589.050000000001</v>
      </c>
      <c r="H48" s="18">
        <v>0</v>
      </c>
      <c r="I48" s="18">
        <f>30.92+0.02</f>
        <v>30.94</v>
      </c>
      <c r="J48" s="13">
        <f>SUM(I459)</f>
        <v>97203.290000000008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42066.400000000001</v>
      </c>
      <c r="G49" s="18">
        <v>342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-42066.4+1032834.33-420.85-50000</f>
        <v>940347.08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1032834.33</v>
      </c>
      <c r="G51" s="41">
        <f>SUM(G35:G50)</f>
        <v>-13247.050000000001</v>
      </c>
      <c r="H51" s="41">
        <f>SUM(H35:H50)</f>
        <v>0</v>
      </c>
      <c r="I51" s="41">
        <f>SUM(I35:I50)</f>
        <v>30.94</v>
      </c>
      <c r="J51" s="41">
        <f>SUM(J35:J50)</f>
        <v>97203.290000000008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1296894.3500000001</v>
      </c>
      <c r="G52" s="41">
        <f>G51+G32</f>
        <v>12668.609999999995</v>
      </c>
      <c r="H52" s="41">
        <f>H51+H32</f>
        <v>86190.780000000013</v>
      </c>
      <c r="I52" s="41">
        <f>I51+I32</f>
        <v>30.94</v>
      </c>
      <c r="J52" s="41">
        <f>J51+J32</f>
        <v>160796.89000000001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16569682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16569682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39790.639999999999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810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1082822.81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1123423.45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7372.05</v>
      </c>
      <c r="G96" s="18"/>
      <c r="H96" s="18"/>
      <c r="I96" s="18">
        <v>0.02</v>
      </c>
      <c r="J96" s="18">
        <v>13.6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338216.02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16250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4153</v>
      </c>
      <c r="G101" s="18">
        <v>160.71</v>
      </c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16887.8</v>
      </c>
      <c r="G102" s="18"/>
      <c r="H102" s="18">
        <v>6699.53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171034.59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289984.71999999997</v>
      </c>
      <c r="G109" s="18">
        <v>0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157.85</v>
      </c>
      <c r="G110" s="18">
        <v>974.15</v>
      </c>
      <c r="H110" s="18"/>
      <c r="I110" s="18"/>
      <c r="J110" s="18">
        <v>9606.4699999999993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505840.00999999995</v>
      </c>
      <c r="G111" s="41">
        <f>SUM(G96:G110)</f>
        <v>339350.88000000006</v>
      </c>
      <c r="H111" s="41">
        <f>SUM(H96:H110)</f>
        <v>6699.53</v>
      </c>
      <c r="I111" s="41">
        <f>SUM(I96:I110)</f>
        <v>0.02</v>
      </c>
      <c r="J111" s="41">
        <f>SUM(J96:J110)</f>
        <v>9620.07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18198945.460000001</v>
      </c>
      <c r="G112" s="41">
        <f>G60+G111</f>
        <v>339350.88000000006</v>
      </c>
      <c r="H112" s="41">
        <f>H60+H79+H94+H111</f>
        <v>6699.53</v>
      </c>
      <c r="I112" s="41">
        <f>I60+I111</f>
        <v>0.02</v>
      </c>
      <c r="J112" s="41">
        <f>J60+J111</f>
        <v>9620.07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2252927.44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2438071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4690998.4399999995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96529.46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280586.69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3929.61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377116.15</v>
      </c>
      <c r="G136" s="41">
        <f>SUM(G123:G135)</f>
        <v>3929.61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5068114.59</v>
      </c>
      <c r="G140" s="41">
        <f>G121+SUM(G136:G137)</f>
        <v>3929.61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27619.91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84546.7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87563.46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245319.88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310486.71000000002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310486.71000000002</v>
      </c>
      <c r="G162" s="41">
        <f>SUM(G150:G161)</f>
        <v>87563.46</v>
      </c>
      <c r="H162" s="41">
        <f>SUM(H150:H161)</f>
        <v>357486.49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310486.71000000002</v>
      </c>
      <c r="G169" s="41">
        <f>G147+G162+SUM(G163:G168)</f>
        <v>87563.46</v>
      </c>
      <c r="H169" s="41">
        <f>H147+H162+SUM(H163:H168)</f>
        <v>357486.49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/>
      <c r="I179" s="18">
        <v>0</v>
      </c>
      <c r="J179" s="18">
        <v>80000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80000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80000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23577546.760000002</v>
      </c>
      <c r="G193" s="47">
        <f>G112+G140+G169+G192</f>
        <v>430843.95000000007</v>
      </c>
      <c r="H193" s="47">
        <f>H112+H140+H169+H192</f>
        <v>364186.02</v>
      </c>
      <c r="I193" s="47">
        <f>I112+I140+I169+I192</f>
        <v>0.02</v>
      </c>
      <c r="J193" s="47">
        <f>J112+J140+J192</f>
        <v>89620.07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3109328.56</v>
      </c>
      <c r="G197" s="18">
        <v>1544721.8</v>
      </c>
      <c r="H197" s="18">
        <v>19822.97</v>
      </c>
      <c r="I197" s="18">
        <v>139394.75</v>
      </c>
      <c r="J197" s="18">
        <v>92585.72</v>
      </c>
      <c r="K197" s="18">
        <v>0</v>
      </c>
      <c r="L197" s="19">
        <f>SUM(F197:K197)</f>
        <v>4905853.8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1250682.44</v>
      </c>
      <c r="G198" s="18">
        <v>778242.15</v>
      </c>
      <c r="H198" s="18">
        <v>419855.6</v>
      </c>
      <c r="I198" s="18">
        <v>8103.42</v>
      </c>
      <c r="J198" s="18">
        <v>4559.42</v>
      </c>
      <c r="K198" s="18">
        <v>0</v>
      </c>
      <c r="L198" s="19">
        <f>SUM(F198:K198)</f>
        <v>2461443.0299999998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700</v>
      </c>
      <c r="G200" s="18">
        <v>155.15</v>
      </c>
      <c r="H200" s="18">
        <v>0</v>
      </c>
      <c r="I200" s="18">
        <v>3143.95</v>
      </c>
      <c r="J200" s="18">
        <v>0</v>
      </c>
      <c r="K200" s="18">
        <v>0</v>
      </c>
      <c r="L200" s="19">
        <f>SUM(F200:K200)</f>
        <v>3999.1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376079.63</v>
      </c>
      <c r="G202" s="18">
        <v>182228.65</v>
      </c>
      <c r="H202" s="18">
        <v>4537.2700000000004</v>
      </c>
      <c r="I202" s="18">
        <v>2145.5700000000002</v>
      </c>
      <c r="J202" s="18">
        <v>0</v>
      </c>
      <c r="K202" s="18">
        <v>0</v>
      </c>
      <c r="L202" s="19">
        <f t="shared" ref="L202:L208" si="0">SUM(F202:K202)</f>
        <v>564991.12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137753.43</v>
      </c>
      <c r="G203" s="18">
        <v>80724.37</v>
      </c>
      <c r="H203" s="18">
        <v>3971.18</v>
      </c>
      <c r="I203" s="18">
        <v>13943.93</v>
      </c>
      <c r="J203" s="18">
        <v>673.66</v>
      </c>
      <c r="K203" s="18">
        <v>0</v>
      </c>
      <c r="L203" s="19">
        <f t="shared" si="0"/>
        <v>237066.56999999998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3906.39</v>
      </c>
      <c r="G204" s="18">
        <v>310.5</v>
      </c>
      <c r="H204" s="18">
        <v>611252.5</v>
      </c>
      <c r="I204" s="18">
        <v>0</v>
      </c>
      <c r="J204" s="18">
        <v>0</v>
      </c>
      <c r="K204" s="18">
        <v>2974.37</v>
      </c>
      <c r="L204" s="19">
        <f t="shared" si="0"/>
        <v>618443.76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387239.48</v>
      </c>
      <c r="G205" s="18">
        <v>218635.14</v>
      </c>
      <c r="H205" s="18">
        <v>15856.23</v>
      </c>
      <c r="I205" s="18">
        <v>10530.6</v>
      </c>
      <c r="J205" s="18">
        <v>17492.740000000002</v>
      </c>
      <c r="K205" s="18">
        <v>1265</v>
      </c>
      <c r="L205" s="19">
        <f t="shared" si="0"/>
        <v>651019.18999999994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350</v>
      </c>
      <c r="I206" s="18">
        <v>0</v>
      </c>
      <c r="J206" s="18">
        <v>0</v>
      </c>
      <c r="K206" s="18">
        <v>0</v>
      </c>
      <c r="L206" s="19">
        <f t="shared" si="0"/>
        <v>350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224870.32</v>
      </c>
      <c r="G207" s="18">
        <v>137649.48000000001</v>
      </c>
      <c r="H207" s="18">
        <v>205952.79</v>
      </c>
      <c r="I207" s="18">
        <v>166081.64000000001</v>
      </c>
      <c r="J207" s="18">
        <v>0</v>
      </c>
      <c r="K207" s="18">
        <v>0</v>
      </c>
      <c r="L207" s="19">
        <f t="shared" si="0"/>
        <v>734554.2300000001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464547.75</v>
      </c>
      <c r="I208" s="18">
        <v>112.1</v>
      </c>
      <c r="J208" s="18">
        <v>0</v>
      </c>
      <c r="K208" s="18">
        <v>0</v>
      </c>
      <c r="L208" s="19">
        <f t="shared" si="0"/>
        <v>464659.85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61019</v>
      </c>
      <c r="G209" s="18">
        <v>38569.61</v>
      </c>
      <c r="H209" s="18">
        <v>21476.12</v>
      </c>
      <c r="I209" s="18">
        <v>10736.44</v>
      </c>
      <c r="J209" s="18">
        <v>17877.61</v>
      </c>
      <c r="K209" s="18">
        <v>0</v>
      </c>
      <c r="L209" s="19">
        <f>SUM(F209:K209)</f>
        <v>149678.77999999997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5551579.25</v>
      </c>
      <c r="G211" s="41">
        <f t="shared" si="1"/>
        <v>2981236.85</v>
      </c>
      <c r="H211" s="41">
        <f t="shared" si="1"/>
        <v>1767622.4100000001</v>
      </c>
      <c r="I211" s="41">
        <f t="shared" si="1"/>
        <v>354192.4</v>
      </c>
      <c r="J211" s="41">
        <f t="shared" si="1"/>
        <v>133189.15000000002</v>
      </c>
      <c r="K211" s="41">
        <f t="shared" si="1"/>
        <v>4239.37</v>
      </c>
      <c r="L211" s="41">
        <f t="shared" si="1"/>
        <v>10792059.43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3627160.73</v>
      </c>
      <c r="G215" s="18">
        <v>1646234.5</v>
      </c>
      <c r="H215" s="18">
        <v>8774.4</v>
      </c>
      <c r="I215" s="18">
        <v>91097.88</v>
      </c>
      <c r="J215" s="18">
        <v>138905.16</v>
      </c>
      <c r="K215" s="18">
        <v>0</v>
      </c>
      <c r="L215" s="19">
        <f>SUM(F215:K215)</f>
        <v>5512172.6700000009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1572848.33</v>
      </c>
      <c r="G216" s="18">
        <v>1035949.32</v>
      </c>
      <c r="H216" s="18">
        <v>195453.53</v>
      </c>
      <c r="I216" s="18">
        <v>15017.85</v>
      </c>
      <c r="J216" s="18">
        <v>14296.72</v>
      </c>
      <c r="K216" s="18">
        <v>0</v>
      </c>
      <c r="L216" s="19">
        <f>SUM(F216:K216)</f>
        <v>2833565.75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67962</v>
      </c>
      <c r="G218" s="18">
        <v>11760.12</v>
      </c>
      <c r="H218" s="18">
        <v>6593</v>
      </c>
      <c r="I218" s="18">
        <v>24924.38</v>
      </c>
      <c r="J218" s="18">
        <v>0</v>
      </c>
      <c r="K218" s="18">
        <v>0</v>
      </c>
      <c r="L218" s="19">
        <f>SUM(F218:K218)</f>
        <v>111239.5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313855.52</v>
      </c>
      <c r="G220" s="18">
        <v>162227.63</v>
      </c>
      <c r="H220" s="18">
        <v>54947.5</v>
      </c>
      <c r="I220" s="18">
        <v>1321.45</v>
      </c>
      <c r="J220" s="18">
        <v>0</v>
      </c>
      <c r="K220" s="18">
        <v>0</v>
      </c>
      <c r="L220" s="19">
        <f t="shared" ref="L220:L226" si="2">SUM(F220:K220)</f>
        <v>532352.1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127478.73</v>
      </c>
      <c r="G221" s="18">
        <v>117296.75</v>
      </c>
      <c r="H221" s="18">
        <v>6839.16</v>
      </c>
      <c r="I221" s="18">
        <v>9496.3700000000008</v>
      </c>
      <c r="J221" s="18">
        <v>0</v>
      </c>
      <c r="K221" s="18">
        <v>0</v>
      </c>
      <c r="L221" s="19">
        <f t="shared" si="2"/>
        <v>261111.00999999998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3906.4</v>
      </c>
      <c r="G222" s="18">
        <v>310.51</v>
      </c>
      <c r="H222" s="18">
        <v>611252.5</v>
      </c>
      <c r="I222" s="18">
        <v>0</v>
      </c>
      <c r="J222" s="18">
        <v>0</v>
      </c>
      <c r="K222" s="18">
        <v>2974.37</v>
      </c>
      <c r="L222" s="19">
        <f t="shared" si="2"/>
        <v>618443.78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367919.58</v>
      </c>
      <c r="G223" s="18">
        <v>189755.23</v>
      </c>
      <c r="H223" s="18">
        <v>22578.47</v>
      </c>
      <c r="I223" s="18">
        <v>20665.91</v>
      </c>
      <c r="J223" s="18">
        <v>65885.070000000007</v>
      </c>
      <c r="K223" s="18">
        <v>2650</v>
      </c>
      <c r="L223" s="19">
        <f t="shared" si="2"/>
        <v>669454.26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230</v>
      </c>
      <c r="I224" s="18">
        <v>0</v>
      </c>
      <c r="J224" s="18">
        <v>0</v>
      </c>
      <c r="K224" s="18">
        <v>0</v>
      </c>
      <c r="L224" s="19">
        <f t="shared" si="2"/>
        <v>230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233128.03</v>
      </c>
      <c r="G225" s="18">
        <v>126645.85</v>
      </c>
      <c r="H225" s="18">
        <v>229216.33</v>
      </c>
      <c r="I225" s="18">
        <v>202482.65</v>
      </c>
      <c r="J225" s="18">
        <v>10286.9</v>
      </c>
      <c r="K225" s="18">
        <v>103</v>
      </c>
      <c r="L225" s="19">
        <f t="shared" si="2"/>
        <v>801862.76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249261.32</v>
      </c>
      <c r="I226" s="18">
        <v>62.07</v>
      </c>
      <c r="J226" s="18">
        <v>0</v>
      </c>
      <c r="K226" s="18">
        <v>0</v>
      </c>
      <c r="L226" s="19">
        <f t="shared" si="2"/>
        <v>249323.39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118242</v>
      </c>
      <c r="G227" s="18">
        <v>54367.51</v>
      </c>
      <c r="H227" s="18">
        <v>19739.34</v>
      </c>
      <c r="I227" s="18">
        <v>12483.15</v>
      </c>
      <c r="J227" s="18">
        <v>18476.48</v>
      </c>
      <c r="K227" s="18">
        <v>0</v>
      </c>
      <c r="L227" s="19">
        <f>SUM(F227:K227)</f>
        <v>223308.48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6432501.3200000012</v>
      </c>
      <c r="G229" s="41">
        <f>SUM(G215:G228)</f>
        <v>3344547.4199999995</v>
      </c>
      <c r="H229" s="41">
        <f>SUM(H215:H228)</f>
        <v>1404885.55</v>
      </c>
      <c r="I229" s="41">
        <f>SUM(I215:I228)</f>
        <v>377551.71</v>
      </c>
      <c r="J229" s="41">
        <f>SUM(J215:J228)</f>
        <v>247850.33000000002</v>
      </c>
      <c r="K229" s="41">
        <f t="shared" si="3"/>
        <v>5727.37</v>
      </c>
      <c r="L229" s="41">
        <f t="shared" si="3"/>
        <v>11813063.700000001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22783.16</v>
      </c>
      <c r="K255" s="18">
        <v>0</v>
      </c>
      <c r="L255" s="19">
        <f t="shared" si="6"/>
        <v>22783.16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22783.16</v>
      </c>
      <c r="K256" s="41">
        <f t="shared" si="7"/>
        <v>0</v>
      </c>
      <c r="L256" s="41">
        <f>SUM(F256:K256)</f>
        <v>22783.16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11984080.57</v>
      </c>
      <c r="G257" s="41">
        <f t="shared" si="8"/>
        <v>6325784.2699999996</v>
      </c>
      <c r="H257" s="41">
        <f t="shared" si="8"/>
        <v>3172507.96</v>
      </c>
      <c r="I257" s="41">
        <f t="shared" si="8"/>
        <v>731744.1100000001</v>
      </c>
      <c r="J257" s="41">
        <f t="shared" si="8"/>
        <v>403822.64</v>
      </c>
      <c r="K257" s="41">
        <f t="shared" si="8"/>
        <v>9966.74</v>
      </c>
      <c r="L257" s="41">
        <f t="shared" si="8"/>
        <v>22627906.290000003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400000</v>
      </c>
      <c r="L260" s="19">
        <f>SUM(F260:K260)</f>
        <v>400000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185850.01</v>
      </c>
      <c r="L261" s="19">
        <f>SUM(F261:K261)</f>
        <v>185850.01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80000</v>
      </c>
      <c r="L266" s="19">
        <f t="shared" si="9"/>
        <v>80000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665850.01</v>
      </c>
      <c r="L270" s="41">
        <f t="shared" si="9"/>
        <v>665850.01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11984080.57</v>
      </c>
      <c r="G271" s="42">
        <f t="shared" si="11"/>
        <v>6325784.2699999996</v>
      </c>
      <c r="H271" s="42">
        <f t="shared" si="11"/>
        <v>3172507.96</v>
      </c>
      <c r="I271" s="42">
        <f t="shared" si="11"/>
        <v>731744.1100000001</v>
      </c>
      <c r="J271" s="42">
        <f t="shared" si="11"/>
        <v>403822.64</v>
      </c>
      <c r="K271" s="42">
        <f t="shared" si="11"/>
        <v>675816.75</v>
      </c>
      <c r="L271" s="42">
        <f t="shared" si="11"/>
        <v>23293756.300000004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0</v>
      </c>
      <c r="G276" s="18">
        <v>0</v>
      </c>
      <c r="H276" s="18">
        <v>6446</v>
      </c>
      <c r="I276" s="18">
        <v>0</v>
      </c>
      <c r="J276" s="18">
        <v>0</v>
      </c>
      <c r="K276" s="18">
        <v>0</v>
      </c>
      <c r="L276" s="19">
        <f>SUM(F276:K276)</f>
        <v>6446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103505.91</v>
      </c>
      <c r="G277" s="18">
        <v>20637.990000000002</v>
      </c>
      <c r="H277" s="18">
        <v>1220</v>
      </c>
      <c r="I277" s="18">
        <v>3412.6</v>
      </c>
      <c r="J277" s="18">
        <v>0</v>
      </c>
      <c r="K277" s="18">
        <v>0</v>
      </c>
      <c r="L277" s="19">
        <f>SUM(F277:K277)</f>
        <v>128776.50000000001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5224.5</v>
      </c>
      <c r="G282" s="18">
        <v>1136.1600000000001</v>
      </c>
      <c r="H282" s="18">
        <v>21116.26</v>
      </c>
      <c r="I282" s="18">
        <v>0</v>
      </c>
      <c r="J282" s="18">
        <v>0</v>
      </c>
      <c r="K282" s="18">
        <v>690</v>
      </c>
      <c r="L282" s="19">
        <f t="shared" si="12"/>
        <v>28166.92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4520.8900000000003</v>
      </c>
      <c r="I283" s="18">
        <v>0</v>
      </c>
      <c r="J283" s="18">
        <v>0</v>
      </c>
      <c r="K283" s="18">
        <v>139</v>
      </c>
      <c r="L283" s="19">
        <f t="shared" si="12"/>
        <v>4659.8900000000003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108730.41</v>
      </c>
      <c r="G290" s="42">
        <f t="shared" si="13"/>
        <v>21774.15</v>
      </c>
      <c r="H290" s="42">
        <f t="shared" si="13"/>
        <v>33303.15</v>
      </c>
      <c r="I290" s="42">
        <f t="shared" si="13"/>
        <v>3412.6</v>
      </c>
      <c r="J290" s="42">
        <f t="shared" si="13"/>
        <v>0</v>
      </c>
      <c r="K290" s="42">
        <f t="shared" si="13"/>
        <v>829</v>
      </c>
      <c r="L290" s="41">
        <f t="shared" si="13"/>
        <v>168049.31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24958.32</v>
      </c>
      <c r="G295" s="18">
        <v>1891.59</v>
      </c>
      <c r="H295" s="18">
        <v>0</v>
      </c>
      <c r="I295" s="18">
        <v>1649.58</v>
      </c>
      <c r="J295" s="18">
        <v>0</v>
      </c>
      <c r="K295" s="18">
        <v>0</v>
      </c>
      <c r="L295" s="19">
        <f>SUM(F295:K295)</f>
        <v>28499.489999999998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91494.06</v>
      </c>
      <c r="G296" s="18">
        <v>18664.82</v>
      </c>
      <c r="H296" s="18">
        <v>5288</v>
      </c>
      <c r="I296" s="18">
        <v>1096.5</v>
      </c>
      <c r="J296" s="18">
        <v>0</v>
      </c>
      <c r="K296" s="18">
        <v>0</v>
      </c>
      <c r="L296" s="19">
        <f>SUM(F296:K296)</f>
        <v>116543.38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1349.95</v>
      </c>
      <c r="J298" s="18"/>
      <c r="K298" s="18"/>
      <c r="L298" s="19">
        <f>SUM(F298:K298)</f>
        <v>1349.95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22772.36</v>
      </c>
      <c r="G301" s="18">
        <v>4768.26</v>
      </c>
      <c r="H301" s="18">
        <v>18287.96</v>
      </c>
      <c r="I301" s="18">
        <v>0</v>
      </c>
      <c r="J301" s="18">
        <v>0</v>
      </c>
      <c r="K301" s="18">
        <v>690</v>
      </c>
      <c r="L301" s="19">
        <f t="shared" si="14"/>
        <v>46518.58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3036.31</v>
      </c>
      <c r="I302" s="18">
        <v>0</v>
      </c>
      <c r="J302" s="18">
        <v>0</v>
      </c>
      <c r="K302" s="18">
        <v>139</v>
      </c>
      <c r="L302" s="19">
        <f t="shared" si="14"/>
        <v>3175.31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50</v>
      </c>
      <c r="I303" s="18">
        <v>0</v>
      </c>
      <c r="J303" s="18">
        <v>0</v>
      </c>
      <c r="K303" s="18">
        <v>0</v>
      </c>
      <c r="L303" s="19">
        <f t="shared" si="14"/>
        <v>50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139224.74</v>
      </c>
      <c r="G309" s="42">
        <f t="shared" si="15"/>
        <v>25324.67</v>
      </c>
      <c r="H309" s="42">
        <f t="shared" si="15"/>
        <v>26662.27</v>
      </c>
      <c r="I309" s="42">
        <f t="shared" si="15"/>
        <v>4096.03</v>
      </c>
      <c r="J309" s="42">
        <f t="shared" si="15"/>
        <v>0</v>
      </c>
      <c r="K309" s="42">
        <f t="shared" si="15"/>
        <v>829</v>
      </c>
      <c r="L309" s="41">
        <f t="shared" si="15"/>
        <v>196136.71000000002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247955.15</v>
      </c>
      <c r="G338" s="41">
        <f t="shared" si="20"/>
        <v>47098.82</v>
      </c>
      <c r="H338" s="41">
        <f t="shared" si="20"/>
        <v>59965.42</v>
      </c>
      <c r="I338" s="41">
        <f t="shared" si="20"/>
        <v>7508.6299999999992</v>
      </c>
      <c r="J338" s="41">
        <f t="shared" si="20"/>
        <v>0</v>
      </c>
      <c r="K338" s="41">
        <f t="shared" si="20"/>
        <v>1658</v>
      </c>
      <c r="L338" s="41">
        <f t="shared" si="20"/>
        <v>364186.02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247955.15</v>
      </c>
      <c r="G352" s="41">
        <f>G338</f>
        <v>47098.82</v>
      </c>
      <c r="H352" s="41">
        <f>H338</f>
        <v>59965.42</v>
      </c>
      <c r="I352" s="41">
        <f>I338</f>
        <v>7508.6299999999992</v>
      </c>
      <c r="J352" s="41">
        <f>J338</f>
        <v>0</v>
      </c>
      <c r="K352" s="47">
        <f>K338+K351</f>
        <v>1658</v>
      </c>
      <c r="L352" s="41">
        <f>L338+L351</f>
        <v>364186.02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60583.13</v>
      </c>
      <c r="G358" s="18">
        <v>50166.79</v>
      </c>
      <c r="H358" s="18">
        <v>452.17</v>
      </c>
      <c r="I358" s="18">
        <v>52473.85</v>
      </c>
      <c r="J358" s="18">
        <v>2940.81</v>
      </c>
      <c r="K358" s="18">
        <v>0</v>
      </c>
      <c r="L358" s="13">
        <f>SUM(F358:K358)</f>
        <v>166616.75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108764.32</v>
      </c>
      <c r="G359" s="18">
        <v>74080.789999999994</v>
      </c>
      <c r="H359" s="18">
        <v>2824.91</v>
      </c>
      <c r="I359" s="18">
        <v>94613.36</v>
      </c>
      <c r="J359" s="18">
        <v>3821.27</v>
      </c>
      <c r="K359" s="18">
        <v>0</v>
      </c>
      <c r="L359" s="19">
        <f>SUM(F359:K359)</f>
        <v>284104.65000000002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169347.45</v>
      </c>
      <c r="G362" s="47">
        <f t="shared" si="22"/>
        <v>124247.57999999999</v>
      </c>
      <c r="H362" s="47">
        <f t="shared" si="22"/>
        <v>3277.08</v>
      </c>
      <c r="I362" s="47">
        <f t="shared" si="22"/>
        <v>147087.21</v>
      </c>
      <c r="J362" s="47">
        <f t="shared" si="22"/>
        <v>6762.08</v>
      </c>
      <c r="K362" s="47">
        <f t="shared" si="22"/>
        <v>0</v>
      </c>
      <c r="L362" s="47">
        <f t="shared" si="22"/>
        <v>450721.4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48579.61</v>
      </c>
      <c r="G367" s="18">
        <v>89406.1</v>
      </c>
      <c r="H367" s="18"/>
      <c r="I367" s="56">
        <f>SUM(F367:H367)</f>
        <v>137985.71000000002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3894.24</v>
      </c>
      <c r="G368" s="63">
        <v>5207.26</v>
      </c>
      <c r="H368" s="63"/>
      <c r="I368" s="56">
        <f>SUM(F368:H368)</f>
        <v>9101.5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52473.85</v>
      </c>
      <c r="G369" s="47">
        <f>SUM(G367:G368)</f>
        <v>94613.36</v>
      </c>
      <c r="H369" s="47">
        <f>SUM(H367:H368)</f>
        <v>0</v>
      </c>
      <c r="I369" s="47">
        <f>SUM(I367:I368)</f>
        <v>147087.21000000002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80000</v>
      </c>
      <c r="H396" s="18">
        <v>13.6</v>
      </c>
      <c r="I396" s="18"/>
      <c r="J396" s="24" t="s">
        <v>289</v>
      </c>
      <c r="K396" s="24" t="s">
        <v>289</v>
      </c>
      <c r="L396" s="56">
        <f t="shared" si="26"/>
        <v>80013.600000000006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80000</v>
      </c>
      <c r="H401" s="47">
        <f>SUM(H395:H400)</f>
        <v>13.6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80013.600000000006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912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>
        <f>3975+2188.12+3443.35</f>
        <v>9606.4699999999993</v>
      </c>
      <c r="J403" s="24" t="s">
        <v>289</v>
      </c>
      <c r="K403" s="24" t="s">
        <v>289</v>
      </c>
      <c r="L403" s="56">
        <f>SUM(F403:K403)</f>
        <v>9606.4699999999993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9606.4699999999993</v>
      </c>
      <c r="J407" s="49" t="s">
        <v>289</v>
      </c>
      <c r="K407" s="49" t="s">
        <v>289</v>
      </c>
      <c r="L407" s="47">
        <f>SUM(L403:L406)</f>
        <v>9606.4699999999993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80000</v>
      </c>
      <c r="H408" s="47">
        <f>H393+H401+H407</f>
        <v>13.6</v>
      </c>
      <c r="I408" s="47">
        <f>I393+I401+I407</f>
        <v>9606.4699999999993</v>
      </c>
      <c r="J408" s="24" t="s">
        <v>289</v>
      </c>
      <c r="K408" s="24" t="s">
        <v>289</v>
      </c>
      <c r="L408" s="47">
        <f>L393+L401+L407</f>
        <v>89620.07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912</v>
      </c>
      <c r="B429" s="6">
        <v>17</v>
      </c>
      <c r="C429" s="6">
        <v>15</v>
      </c>
      <c r="D429" s="2" t="s">
        <v>433</v>
      </c>
      <c r="E429" s="6"/>
      <c r="F429" s="18">
        <v>2850</v>
      </c>
      <c r="G429" s="18">
        <f>191.27+44.74+346.92+10.42</f>
        <v>593.35</v>
      </c>
      <c r="H429" s="18">
        <f>3975+2188.12</f>
        <v>6163.12</v>
      </c>
      <c r="I429" s="18"/>
      <c r="J429" s="18"/>
      <c r="K429" s="18"/>
      <c r="L429" s="56">
        <f>SUM(F429:K429)</f>
        <v>9606.4699999999993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2850</v>
      </c>
      <c r="G433" s="47">
        <f t="shared" si="31"/>
        <v>593.35</v>
      </c>
      <c r="H433" s="47">
        <f t="shared" si="31"/>
        <v>6163.12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9606.4699999999993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2850</v>
      </c>
      <c r="G434" s="47">
        <f t="shared" si="32"/>
        <v>593.35</v>
      </c>
      <c r="H434" s="47">
        <f t="shared" si="32"/>
        <v>6163.12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9606.4699999999993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v>63593.599999999999</v>
      </c>
      <c r="I439" s="56">
        <f t="shared" ref="I439:I445" si="33">SUM(F439:H439)</f>
        <v>63593.599999999999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>
        <v>97203.29</v>
      </c>
      <c r="H442" s="18"/>
      <c r="I442" s="56">
        <f t="shared" si="33"/>
        <v>97203.29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97203.29</v>
      </c>
      <c r="H446" s="13">
        <f>SUM(H439:H445)</f>
        <v>63593.599999999999</v>
      </c>
      <c r="I446" s="13">
        <f>SUM(I439:I445)</f>
        <v>160796.88999999998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v>63593.599999999999</v>
      </c>
      <c r="I451" s="56">
        <f>SUM(F451:H451)</f>
        <v>63593.599999999999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63593.599999999999</v>
      </c>
      <c r="I452" s="72">
        <f>SUM(I448:I451)</f>
        <v>63593.599999999999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17189.69+80013.6</f>
        <v>97203.290000000008</v>
      </c>
      <c r="H459" s="18"/>
      <c r="I459" s="56">
        <f t="shared" si="34"/>
        <v>97203.290000000008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97203.290000000008</v>
      </c>
      <c r="H460" s="83">
        <f>SUM(H454:H459)</f>
        <v>0</v>
      </c>
      <c r="I460" s="83">
        <f>SUM(I454:I459)</f>
        <v>97203.290000000008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97203.290000000008</v>
      </c>
      <c r="H461" s="42">
        <f>H452+H460</f>
        <v>63593.599999999999</v>
      </c>
      <c r="I461" s="42">
        <f>I452+I460</f>
        <v>160796.89000000001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749043.87</v>
      </c>
      <c r="G465" s="18">
        <v>6630.4</v>
      </c>
      <c r="H465" s="18">
        <v>0</v>
      </c>
      <c r="I465" s="18">
        <v>30.92</v>
      </c>
      <c r="J465" s="18">
        <v>16897.169999999998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23577546.760000002</v>
      </c>
      <c r="G468" s="18">
        <f t="shared" ref="G468:J468" si="35">G193</f>
        <v>430843.95000000007</v>
      </c>
      <c r="H468" s="18">
        <f t="shared" si="35"/>
        <v>364186.02</v>
      </c>
      <c r="I468" s="18">
        <f t="shared" si="35"/>
        <v>0.02</v>
      </c>
      <c r="J468" s="18">
        <f t="shared" si="35"/>
        <v>89620.07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292.52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23577546.760000002</v>
      </c>
      <c r="G470" s="53">
        <f>SUM(G468:G469)</f>
        <v>430843.95000000007</v>
      </c>
      <c r="H470" s="53">
        <f>SUM(H468:H469)</f>
        <v>364186.02</v>
      </c>
      <c r="I470" s="53">
        <f>SUM(I468:I469)</f>
        <v>0.02</v>
      </c>
      <c r="J470" s="53">
        <f>SUM(J468:J469)</f>
        <v>89912.590000000011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23293756.300000004</v>
      </c>
      <c r="G472" s="18">
        <f>L362</f>
        <v>450721.4</v>
      </c>
      <c r="H472" s="18">
        <f>L352</f>
        <v>364186.02</v>
      </c>
      <c r="I472" s="18">
        <f>L382</f>
        <v>0</v>
      </c>
      <c r="J472" s="18">
        <f>L434</f>
        <v>9606.4699999999993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23293756.300000004</v>
      </c>
      <c r="G474" s="53">
        <f>SUM(G472:G473)</f>
        <v>450721.4</v>
      </c>
      <c r="H474" s="53">
        <f>SUM(H472:H473)</f>
        <v>364186.02</v>
      </c>
      <c r="I474" s="53">
        <f>SUM(I472:I473)</f>
        <v>0</v>
      </c>
      <c r="J474" s="53">
        <f>SUM(J472:J473)</f>
        <v>9606.4699999999993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1032834.3299999982</v>
      </c>
      <c r="G476" s="53">
        <f>(G465+G470)- G474</f>
        <v>-13247.04999999993</v>
      </c>
      <c r="H476" s="53">
        <f>(H465+H470)- H474</f>
        <v>0</v>
      </c>
      <c r="I476" s="53">
        <f>(I465+I470)- I474</f>
        <v>30.94</v>
      </c>
      <c r="J476" s="53">
        <f>(J465+J470)- J474</f>
        <v>97203.290000000008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916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917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1717000</v>
      </c>
      <c r="G493" s="18">
        <v>3883620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1.62</v>
      </c>
      <c r="G494" s="18">
        <v>4.24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1705000</v>
      </c>
      <c r="G495" s="18">
        <v>3105000</v>
      </c>
      <c r="H495" s="18"/>
      <c r="I495" s="18"/>
      <c r="J495" s="18"/>
      <c r="K495" s="53">
        <f>SUM(F495:J495)</f>
        <v>4810000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205000</v>
      </c>
      <c r="G497" s="18">
        <v>195000</v>
      </c>
      <c r="H497" s="18"/>
      <c r="I497" s="18"/>
      <c r="J497" s="18"/>
      <c r="K497" s="53">
        <f t="shared" si="36"/>
        <v>400000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1500000</v>
      </c>
      <c r="G498" s="204">
        <f>G495-G497</f>
        <v>2910000</v>
      </c>
      <c r="H498" s="204"/>
      <c r="I498" s="204"/>
      <c r="J498" s="204"/>
      <c r="K498" s="205">
        <f t="shared" si="36"/>
        <v>4410000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226375-44900</f>
        <v>181475</v>
      </c>
      <c r="G499" s="18">
        <v>971815.73</v>
      </c>
      <c r="H499" s="18"/>
      <c r="I499" s="18"/>
      <c r="J499" s="18"/>
      <c r="K499" s="53">
        <f t="shared" si="36"/>
        <v>1153290.73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1681475</v>
      </c>
      <c r="G500" s="42">
        <f>SUM(G498:G499)</f>
        <v>3881815.73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5563290.7300000004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200000</v>
      </c>
      <c r="G501" s="204">
        <v>195000</v>
      </c>
      <c r="H501" s="204"/>
      <c r="I501" s="204"/>
      <c r="J501" s="204"/>
      <c r="K501" s="205">
        <f t="shared" si="36"/>
        <v>395000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40850</v>
      </c>
      <c r="G502" s="18">
        <f>67915.63+62796.88</f>
        <v>130712.51000000001</v>
      </c>
      <c r="H502" s="18"/>
      <c r="I502" s="18"/>
      <c r="J502" s="18"/>
      <c r="K502" s="53">
        <f t="shared" si="36"/>
        <v>171562.51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240850</v>
      </c>
      <c r="G503" s="42">
        <f>SUM(G501:G502)</f>
        <v>325712.51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566562.51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1154943</v>
      </c>
      <c r="G521" s="18">
        <v>680702.33</v>
      </c>
      <c r="H521" s="18">
        <v>82784.62</v>
      </c>
      <c r="I521" s="18">
        <v>8578.15</v>
      </c>
      <c r="J521" s="18">
        <v>4559.42</v>
      </c>
      <c r="K521" s="18"/>
      <c r="L521" s="88">
        <f>SUM(F521:K521)</f>
        <v>1931567.52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1574113.96</v>
      </c>
      <c r="G522" s="18">
        <v>1017812</v>
      </c>
      <c r="H522" s="18">
        <v>54405.58</v>
      </c>
      <c r="I522" s="18">
        <v>10721.58</v>
      </c>
      <c r="J522" s="18">
        <v>14296.72</v>
      </c>
      <c r="K522" s="18"/>
      <c r="L522" s="88">
        <f>SUM(F522:K522)</f>
        <v>2671349.8400000003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2729056.96</v>
      </c>
      <c r="G524" s="108">
        <f t="shared" ref="G524:L524" si="37">SUM(G521:G523)</f>
        <v>1698514.33</v>
      </c>
      <c r="H524" s="108">
        <f t="shared" si="37"/>
        <v>137190.20000000001</v>
      </c>
      <c r="I524" s="108">
        <f t="shared" si="37"/>
        <v>19299.73</v>
      </c>
      <c r="J524" s="108">
        <f t="shared" si="37"/>
        <v>18856.14</v>
      </c>
      <c r="K524" s="108">
        <f t="shared" si="37"/>
        <v>0</v>
      </c>
      <c r="L524" s="89">
        <f t="shared" si="37"/>
        <v>4602917.3600000003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165910.95000000001</v>
      </c>
      <c r="G526" s="18">
        <v>94593.02</v>
      </c>
      <c r="H526" s="18">
        <v>312993.46999999997</v>
      </c>
      <c r="I526" s="18">
        <v>2937.87</v>
      </c>
      <c r="J526" s="18"/>
      <c r="K526" s="18"/>
      <c r="L526" s="88">
        <f>SUM(F526:K526)</f>
        <v>576435.30999999994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55130.83</v>
      </c>
      <c r="G527" s="18">
        <v>21356.69</v>
      </c>
      <c r="H527" s="18">
        <v>140131.79999999999</v>
      </c>
      <c r="I527" s="18">
        <v>5392.77</v>
      </c>
      <c r="J527" s="18"/>
      <c r="K527" s="18"/>
      <c r="L527" s="88">
        <f>SUM(F527:K527)</f>
        <v>222012.09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221041.78000000003</v>
      </c>
      <c r="G529" s="89">
        <f t="shared" ref="G529:L529" si="38">SUM(G526:G528)</f>
        <v>115949.71</v>
      </c>
      <c r="H529" s="89">
        <f t="shared" si="38"/>
        <v>453125.26999999996</v>
      </c>
      <c r="I529" s="89">
        <f t="shared" si="38"/>
        <v>8330.64</v>
      </c>
      <c r="J529" s="89">
        <f t="shared" si="38"/>
        <v>0</v>
      </c>
      <c r="K529" s="89">
        <f t="shared" si="38"/>
        <v>0</v>
      </c>
      <c r="L529" s="89">
        <f t="shared" si="38"/>
        <v>798447.39999999991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33334.400000000001</v>
      </c>
      <c r="G531" s="18">
        <v>23584.79</v>
      </c>
      <c r="H531" s="18">
        <v>25297.51</v>
      </c>
      <c r="I531" s="18"/>
      <c r="J531" s="18"/>
      <c r="K531" s="18"/>
      <c r="L531" s="88">
        <f>SUM(F531:K531)</f>
        <v>82216.7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35097.599999999999</v>
      </c>
      <c r="G532" s="18">
        <v>15445.45</v>
      </c>
      <c r="H532" s="18">
        <v>6204.15</v>
      </c>
      <c r="I532" s="18"/>
      <c r="J532" s="18"/>
      <c r="K532" s="18"/>
      <c r="L532" s="88">
        <f>SUM(F532:K532)</f>
        <v>56747.200000000004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68432</v>
      </c>
      <c r="G534" s="89">
        <f t="shared" ref="G534:L534" si="39">SUM(G531:G533)</f>
        <v>39030.240000000005</v>
      </c>
      <c r="H534" s="89">
        <f t="shared" si="39"/>
        <v>31501.659999999996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138963.9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124822.78</v>
      </c>
      <c r="I541" s="18"/>
      <c r="J541" s="18"/>
      <c r="K541" s="18"/>
      <c r="L541" s="88">
        <f>SUM(F541:K541)</f>
        <v>124822.78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52527.46</v>
      </c>
      <c r="I542" s="18"/>
      <c r="J542" s="18"/>
      <c r="K542" s="18"/>
      <c r="L542" s="88">
        <f>SUM(F542:K542)</f>
        <v>52527.46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177350.24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177350.24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3018530.74</v>
      </c>
      <c r="G545" s="89">
        <f t="shared" ref="G545:L545" si="42">G524+G529+G534+G539+G544</f>
        <v>1853494.28</v>
      </c>
      <c r="H545" s="89">
        <f t="shared" si="42"/>
        <v>799167.37</v>
      </c>
      <c r="I545" s="89">
        <f t="shared" si="42"/>
        <v>27630.37</v>
      </c>
      <c r="J545" s="89">
        <f t="shared" si="42"/>
        <v>18856.14</v>
      </c>
      <c r="K545" s="89">
        <f t="shared" si="42"/>
        <v>0</v>
      </c>
      <c r="L545" s="89">
        <f t="shared" si="42"/>
        <v>5717678.9000000004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1931567.52</v>
      </c>
      <c r="G549" s="87">
        <f>L526</f>
        <v>576435.30999999994</v>
      </c>
      <c r="H549" s="87">
        <f>L531</f>
        <v>82216.7</v>
      </c>
      <c r="I549" s="87">
        <f>L536</f>
        <v>0</v>
      </c>
      <c r="J549" s="87">
        <f>L541</f>
        <v>124822.78</v>
      </c>
      <c r="K549" s="87">
        <f>SUM(F549:J549)</f>
        <v>2715042.31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2671349.8400000003</v>
      </c>
      <c r="G550" s="87">
        <f>L527</f>
        <v>222012.09</v>
      </c>
      <c r="H550" s="87">
        <f>L532</f>
        <v>56747.200000000004</v>
      </c>
      <c r="I550" s="87">
        <f>L537</f>
        <v>0</v>
      </c>
      <c r="J550" s="87">
        <f>L542</f>
        <v>52527.46</v>
      </c>
      <c r="K550" s="87">
        <f>SUM(F550:J550)</f>
        <v>3002636.5900000003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4602917.3600000003</v>
      </c>
      <c r="G552" s="89">
        <f t="shared" si="43"/>
        <v>798447.39999999991</v>
      </c>
      <c r="H552" s="89">
        <f t="shared" si="43"/>
        <v>138963.9</v>
      </c>
      <c r="I552" s="89">
        <f t="shared" si="43"/>
        <v>0</v>
      </c>
      <c r="J552" s="89">
        <f t="shared" si="43"/>
        <v>177350.24</v>
      </c>
      <c r="K552" s="89">
        <f t="shared" si="43"/>
        <v>5717678.9000000004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8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81564.62</v>
      </c>
      <c r="G582" s="18">
        <v>51680</v>
      </c>
      <c r="H582" s="18"/>
      <c r="I582" s="87">
        <f t="shared" si="48"/>
        <v>133244.62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339837.07</v>
      </c>
      <c r="I591" s="18">
        <v>188185.11</v>
      </c>
      <c r="J591" s="18"/>
      <c r="K591" s="104">
        <f t="shared" ref="K591:K597" si="49">SUM(H591:J591)</f>
        <v>528022.17999999993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124822.78</v>
      </c>
      <c r="I592" s="18">
        <v>52527.46</v>
      </c>
      <c r="J592" s="18"/>
      <c r="K592" s="104">
        <f t="shared" si="49"/>
        <v>177350.24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8610.82</v>
      </c>
      <c r="J594" s="18"/>
      <c r="K594" s="104">
        <f t="shared" si="49"/>
        <v>8610.82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9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464659.85</v>
      </c>
      <c r="I598" s="108">
        <f>SUM(I591:I597)</f>
        <v>249323.38999999998</v>
      </c>
      <c r="J598" s="108">
        <f>SUM(J591:J597)</f>
        <v>0</v>
      </c>
      <c r="K598" s="108">
        <f>SUM(K591:K597)</f>
        <v>713983.23999999987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133189.15</v>
      </c>
      <c r="I604" s="18">
        <v>247850.33</v>
      </c>
      <c r="J604" s="18"/>
      <c r="K604" s="104">
        <f>SUM(H604:J604)</f>
        <v>381039.48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133189.15</v>
      </c>
      <c r="I605" s="108">
        <f>SUM(I602:I604)</f>
        <v>247850.33</v>
      </c>
      <c r="J605" s="108">
        <f>SUM(J602:J604)</f>
        <v>0</v>
      </c>
      <c r="K605" s="108">
        <f>SUM(K602:K604)</f>
        <v>381039.48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1296894.3500000001</v>
      </c>
      <c r="H617" s="109">
        <f>SUM(F52)</f>
        <v>1296894.3500000001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12668.61</v>
      </c>
      <c r="H618" s="109">
        <f>SUM(G52)</f>
        <v>12668.609999999995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86190.78</v>
      </c>
      <c r="H619" s="109">
        <f>SUM(H52)</f>
        <v>86190.780000000013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30.94</v>
      </c>
      <c r="H620" s="109">
        <f>SUM(I52)</f>
        <v>30.94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160796.88999999998</v>
      </c>
      <c r="H621" s="109">
        <f>SUM(J52)</f>
        <v>160796.89000000001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1032834.33</v>
      </c>
      <c r="H622" s="109">
        <f>F476</f>
        <v>1032834.3299999982</v>
      </c>
      <c r="I622" s="121" t="s">
        <v>101</v>
      </c>
      <c r="J622" s="109">
        <f t="shared" ref="J622:J655" si="51">G622-H622</f>
        <v>1.7462298274040222E-9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-13247.050000000001</v>
      </c>
      <c r="H623" s="109">
        <f>G476</f>
        <v>-13247.04999999993</v>
      </c>
      <c r="I623" s="121" t="s">
        <v>102</v>
      </c>
      <c r="J623" s="109">
        <f t="shared" si="51"/>
        <v>-7.0940586738288403E-11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30.94</v>
      </c>
      <c r="H625" s="109">
        <f>I476</f>
        <v>30.94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97203.290000000008</v>
      </c>
      <c r="H626" s="109">
        <f>J476</f>
        <v>97203.290000000008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23577546.760000002</v>
      </c>
      <c r="H627" s="104">
        <f>SUM(F468)</f>
        <v>23577546.760000002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430843.95000000007</v>
      </c>
      <c r="H628" s="104">
        <f>SUM(G468)</f>
        <v>430843.95000000007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364186.02</v>
      </c>
      <c r="H629" s="104">
        <f>SUM(H468)</f>
        <v>364186.02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0.02</v>
      </c>
      <c r="H630" s="104">
        <f>SUM(I468)</f>
        <v>0.02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89620.07</v>
      </c>
      <c r="H631" s="104">
        <f>SUM(J468)</f>
        <v>89620.07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23293756.300000004</v>
      </c>
      <c r="H632" s="104">
        <f>SUM(F472)</f>
        <v>23293756.300000004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364186.02</v>
      </c>
      <c r="H633" s="104">
        <f>SUM(H472)</f>
        <v>364186.02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147087.21</v>
      </c>
      <c r="H634" s="104">
        <f>I369</f>
        <v>147087.21000000002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450721.4</v>
      </c>
      <c r="H635" s="104">
        <f>SUM(G472)</f>
        <v>450721.4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89620.07</v>
      </c>
      <c r="H637" s="164">
        <f>SUM(J468)</f>
        <v>89620.07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9606.4699999999993</v>
      </c>
      <c r="H638" s="164">
        <f>SUM(J472)</f>
        <v>9606.4699999999993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97203.29</v>
      </c>
      <c r="H640" s="104">
        <f>SUM(G461)</f>
        <v>97203.290000000008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63593.599999999999</v>
      </c>
      <c r="H641" s="104">
        <f>SUM(H461)</f>
        <v>63593.599999999999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160796.88999999998</v>
      </c>
      <c r="H642" s="104">
        <f>SUM(I461)</f>
        <v>160796.89000000001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13.6</v>
      </c>
      <c r="H644" s="104">
        <f>H408</f>
        <v>13.6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80000</v>
      </c>
      <c r="H645" s="104">
        <f>G408</f>
        <v>80000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89620.07</v>
      </c>
      <c r="H646" s="104">
        <f>L408</f>
        <v>89620.07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713983.23999999987</v>
      </c>
      <c r="H647" s="104">
        <f>L208+L226+L244</f>
        <v>713983.24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381039.48</v>
      </c>
      <c r="H648" s="104">
        <f>(J257+J338)-(J255+J336)</f>
        <v>381039.48000000004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464659.85</v>
      </c>
      <c r="H649" s="104">
        <f>H598</f>
        <v>464659.85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249323.39</v>
      </c>
      <c r="H650" s="104">
        <f>I598</f>
        <v>249323.38999999998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80000</v>
      </c>
      <c r="H655" s="104">
        <f>K266+K347</f>
        <v>80000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11126725.49</v>
      </c>
      <c r="G660" s="19">
        <f>(L229+L309+L359)</f>
        <v>12293305.060000002</v>
      </c>
      <c r="H660" s="19">
        <f>(L247+L328+L360)</f>
        <v>0</v>
      </c>
      <c r="I660" s="19">
        <f>SUM(F660:H660)</f>
        <v>23420030.550000004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125446.76320059356</v>
      </c>
      <c r="G661" s="19">
        <f>(L359/IF(SUM(L358:L360)=0,1,SUM(L358:L360))*(SUM(G97:G110)))</f>
        <v>213904.11679940653</v>
      </c>
      <c r="H661" s="19">
        <f>(L360/IF(SUM(L358:L360)=0,1,SUM(L358:L360))*(SUM(G97:G110)))</f>
        <v>0</v>
      </c>
      <c r="I661" s="19">
        <f>SUM(F661:H661)</f>
        <v>339350.88000000012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464659.85</v>
      </c>
      <c r="G662" s="19">
        <f>(L226+L306)-(J226+J306)</f>
        <v>249323.39</v>
      </c>
      <c r="H662" s="19">
        <f>(L244+L325)-(J244+J325)</f>
        <v>0</v>
      </c>
      <c r="I662" s="19">
        <f>SUM(F662:H662)</f>
        <v>713983.24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214753.77</v>
      </c>
      <c r="G663" s="199">
        <f>SUM(G575:G587)+SUM(I602:I604)+L612</f>
        <v>299530.32999999996</v>
      </c>
      <c r="H663" s="199">
        <f>SUM(H575:H587)+SUM(J602:J604)+L613</f>
        <v>0</v>
      </c>
      <c r="I663" s="19">
        <f>SUM(F663:H663)</f>
        <v>514284.1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10321865.106799407</v>
      </c>
      <c r="G664" s="19">
        <f>G660-SUM(G661:G663)</f>
        <v>11530547.223200597</v>
      </c>
      <c r="H664" s="19">
        <f>H660-SUM(H661:H663)</f>
        <v>0</v>
      </c>
      <c r="I664" s="19">
        <f>I660-SUM(I661:I663)</f>
        <v>21852412.330000006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14.04+55.1+493.87</f>
        <v>563.01</v>
      </c>
      <c r="G665" s="248">
        <v>687.13</v>
      </c>
      <c r="H665" s="248"/>
      <c r="I665" s="19">
        <f>SUM(F665:H665)</f>
        <v>1250.1399999999999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18333.36</v>
      </c>
      <c r="G667" s="19">
        <f>ROUND(G664/G665,2)</f>
        <v>16780.740000000002</v>
      </c>
      <c r="H667" s="19" t="e">
        <f>ROUND(H664/H665,2)</f>
        <v>#DIV/0!</v>
      </c>
      <c r="I667" s="19">
        <f>ROUND(I664/I665,2)</f>
        <v>17479.97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18333.36</v>
      </c>
      <c r="G672" s="19">
        <f>ROUND((G664+G669)/(G665+G670),2)</f>
        <v>16780.740000000002</v>
      </c>
      <c r="H672" s="19" t="e">
        <f>ROUND((H664+H669)/(H665+H670),2)</f>
        <v>#DIV/0!</v>
      </c>
      <c r="I672" s="19">
        <f>ROUND((I664+I669)/(I665+I670),2)</f>
        <v>17479.97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AMHERST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6761447.6100000003</v>
      </c>
      <c r="C9" s="229">
        <f>'DOE25'!G197+'DOE25'!G215+'DOE25'!G233+'DOE25'!G276+'DOE25'!G295+'DOE25'!G314</f>
        <v>3192847.8899999997</v>
      </c>
    </row>
    <row r="10" spans="1:3" x14ac:dyDescent="0.2">
      <c r="A10" t="s">
        <v>779</v>
      </c>
      <c r="B10" s="240">
        <f>6597713.79</f>
        <v>6597713.79</v>
      </c>
      <c r="C10" s="240">
        <v>3115530.55</v>
      </c>
    </row>
    <row r="11" spans="1:3" x14ac:dyDescent="0.2">
      <c r="A11" t="s">
        <v>780</v>
      </c>
      <c r="B11" s="240">
        <f>78397.59+7203.46</f>
        <v>85601.05</v>
      </c>
      <c r="C11" s="240">
        <v>40421.980000000003</v>
      </c>
    </row>
    <row r="12" spans="1:3" x14ac:dyDescent="0.2">
      <c r="A12" t="s">
        <v>781</v>
      </c>
      <c r="B12" s="240">
        <v>78132.77</v>
      </c>
      <c r="C12" s="240">
        <v>36895.360000000001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6761447.6099999994</v>
      </c>
      <c r="C13" s="231">
        <f>SUM(C10:C12)</f>
        <v>3192847.8899999997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3018530.74</v>
      </c>
      <c r="C18" s="229">
        <f>'DOE25'!G198+'DOE25'!G216+'DOE25'!G234+'DOE25'!G277+'DOE25'!G296+'DOE25'!G315</f>
        <v>1853494.28</v>
      </c>
    </row>
    <row r="19" spans="1:3" x14ac:dyDescent="0.2">
      <c r="A19" t="s">
        <v>779</v>
      </c>
      <c r="B19" s="240">
        <v>1289404.57</v>
      </c>
      <c r="C19" s="240">
        <v>791744.13</v>
      </c>
    </row>
    <row r="20" spans="1:3" x14ac:dyDescent="0.2">
      <c r="A20" t="s">
        <v>780</v>
      </c>
      <c r="B20" s="240">
        <f>1058602.69-4809.55</f>
        <v>1053793.1399999999</v>
      </c>
      <c r="C20" s="240">
        <v>647069.63</v>
      </c>
    </row>
    <row r="21" spans="1:3" x14ac:dyDescent="0.2">
      <c r="A21" t="s">
        <v>781</v>
      </c>
      <c r="B21" s="240">
        <v>675333.03</v>
      </c>
      <c r="C21" s="240">
        <v>414680.52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3018530.74</v>
      </c>
      <c r="C22" s="231">
        <f>SUM(C19:C21)</f>
        <v>1853494.28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68662</v>
      </c>
      <c r="C36" s="235">
        <f>'DOE25'!G200+'DOE25'!G218+'DOE25'!G236+'DOE25'!G279+'DOE25'!G298+'DOE25'!G317</f>
        <v>11915.27</v>
      </c>
    </row>
    <row r="37" spans="1:3" x14ac:dyDescent="0.2">
      <c r="A37" t="s">
        <v>779</v>
      </c>
      <c r="B37" s="240">
        <v>32251.5</v>
      </c>
      <c r="C37" s="240">
        <v>5596.77</v>
      </c>
    </row>
    <row r="38" spans="1:3" x14ac:dyDescent="0.2">
      <c r="A38" t="s">
        <v>780</v>
      </c>
      <c r="B38" s="240">
        <v>12226</v>
      </c>
      <c r="C38" s="240">
        <v>2121.64</v>
      </c>
    </row>
    <row r="39" spans="1:3" x14ac:dyDescent="0.2">
      <c r="A39" t="s">
        <v>781</v>
      </c>
      <c r="B39" s="240">
        <v>24184.5</v>
      </c>
      <c r="C39" s="240">
        <v>4196.8599999999997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68662</v>
      </c>
      <c r="C40" s="231">
        <f>SUM(C37:C39)</f>
        <v>11915.27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AMHERST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15828273.850000001</v>
      </c>
      <c r="D5" s="20">
        <f>SUM('DOE25'!L197:L200)+SUM('DOE25'!L215:L218)+SUM('DOE25'!L233:L236)-F5-G5</f>
        <v>15577926.830000002</v>
      </c>
      <c r="E5" s="243"/>
      <c r="F5" s="255">
        <f>SUM('DOE25'!J197:J200)+SUM('DOE25'!J215:J218)+SUM('DOE25'!J233:J236)</f>
        <v>250347.02000000002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1097343.22</v>
      </c>
      <c r="D6" s="20">
        <f>'DOE25'!L202+'DOE25'!L220+'DOE25'!L238-F6-G6</f>
        <v>1097343.22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498177.57999999996</v>
      </c>
      <c r="D7" s="20">
        <f>'DOE25'!L203+'DOE25'!L221+'DOE25'!L239-F7-G7</f>
        <v>497503.92</v>
      </c>
      <c r="E7" s="243"/>
      <c r="F7" s="255">
        <f>'DOE25'!J203+'DOE25'!J221+'DOE25'!J239</f>
        <v>673.66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1236887.54</v>
      </c>
      <c r="D8" s="243"/>
      <c r="E8" s="20">
        <f>'DOE25'!L204+'DOE25'!L222+'DOE25'!L240-F8-G8-D9-D11</f>
        <v>1230938.8</v>
      </c>
      <c r="F8" s="255">
        <f>'DOE25'!J204+'DOE25'!J222+'DOE25'!J240</f>
        <v>0</v>
      </c>
      <c r="G8" s="53">
        <f>'DOE25'!K204+'DOE25'!K222+'DOE25'!K240</f>
        <v>5948.74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1320473.45</v>
      </c>
      <c r="D12" s="20">
        <f>'DOE25'!L205+'DOE25'!L223+'DOE25'!L241-F12-G12</f>
        <v>1233180.6399999999</v>
      </c>
      <c r="E12" s="243"/>
      <c r="F12" s="255">
        <f>'DOE25'!J205+'DOE25'!J223+'DOE25'!J241</f>
        <v>83377.810000000012</v>
      </c>
      <c r="G12" s="53">
        <f>'DOE25'!K205+'DOE25'!K223+'DOE25'!K241</f>
        <v>3915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580</v>
      </c>
      <c r="D13" s="243"/>
      <c r="E13" s="20">
        <f>'DOE25'!L206+'DOE25'!L224+'DOE25'!L242-F13-G13</f>
        <v>580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1536416.9900000002</v>
      </c>
      <c r="D14" s="20">
        <f>'DOE25'!L207+'DOE25'!L225+'DOE25'!L243-F14-G14</f>
        <v>1526027.0900000003</v>
      </c>
      <c r="E14" s="243"/>
      <c r="F14" s="255">
        <f>'DOE25'!J207+'DOE25'!J225+'DOE25'!J243</f>
        <v>10286.9</v>
      </c>
      <c r="G14" s="53">
        <f>'DOE25'!K207+'DOE25'!K225+'DOE25'!K243</f>
        <v>103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713983.24</v>
      </c>
      <c r="D15" s="20">
        <f>'DOE25'!L208+'DOE25'!L226+'DOE25'!L244-F15-G15</f>
        <v>713983.24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372987.26</v>
      </c>
      <c r="D16" s="243"/>
      <c r="E16" s="20">
        <f>'DOE25'!L209+'DOE25'!L227+'DOE25'!L245-F16-G16</f>
        <v>336633.17000000004</v>
      </c>
      <c r="F16" s="255">
        <f>'DOE25'!J209+'DOE25'!J227+'DOE25'!J245</f>
        <v>36354.089999999997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22783.16</v>
      </c>
      <c r="D22" s="243"/>
      <c r="E22" s="243"/>
      <c r="F22" s="255">
        <f>'DOE25'!L255+'DOE25'!L336</f>
        <v>22783.16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585850.01</v>
      </c>
      <c r="D25" s="243"/>
      <c r="E25" s="243"/>
      <c r="F25" s="258"/>
      <c r="G25" s="256"/>
      <c r="H25" s="257">
        <f>'DOE25'!L260+'DOE25'!L261+'DOE25'!L341+'DOE25'!L342</f>
        <v>585850.01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312735.69</v>
      </c>
      <c r="D29" s="20">
        <f>'DOE25'!L358+'DOE25'!L359+'DOE25'!L360-'DOE25'!I367-F29-G29</f>
        <v>305973.61</v>
      </c>
      <c r="E29" s="243"/>
      <c r="F29" s="255">
        <f>'DOE25'!J358+'DOE25'!J359+'DOE25'!J360</f>
        <v>6762.08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364186.02</v>
      </c>
      <c r="D31" s="20">
        <f>'DOE25'!L290+'DOE25'!L309+'DOE25'!L328+'DOE25'!L333+'DOE25'!L334+'DOE25'!L335-F31-G31</f>
        <v>362528.02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1658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21314466.57</v>
      </c>
      <c r="E33" s="246">
        <f>SUM(E5:E31)</f>
        <v>1568151.9700000002</v>
      </c>
      <c r="F33" s="246">
        <f>SUM(F5:F31)</f>
        <v>410584.72000000009</v>
      </c>
      <c r="G33" s="246">
        <f>SUM(G5:G31)</f>
        <v>11624.74</v>
      </c>
      <c r="H33" s="246">
        <f>SUM(H5:H31)</f>
        <v>585850.01</v>
      </c>
    </row>
    <row r="35" spans="2:8" ht="12" thickBot="1" x14ac:dyDescent="0.25">
      <c r="B35" s="253" t="s">
        <v>847</v>
      </c>
      <c r="D35" s="254">
        <f>E33</f>
        <v>1568151.9700000002</v>
      </c>
      <c r="E35" s="249"/>
    </row>
    <row r="36" spans="2:8" ht="12" thickTop="1" x14ac:dyDescent="0.2">
      <c r="B36" t="s">
        <v>815</v>
      </c>
      <c r="D36" s="20">
        <f>D33</f>
        <v>21314466.57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-461071.03</v>
      </c>
      <c r="D8" s="95">
        <f>'DOE25'!G9</f>
        <v>0</v>
      </c>
      <c r="E8" s="95">
        <f>'DOE25'!H9</f>
        <v>0</v>
      </c>
      <c r="F8" s="95">
        <f>'DOE25'!I9</f>
        <v>30.94</v>
      </c>
      <c r="G8" s="95">
        <f>'DOE25'!J9</f>
        <v>63593.599999999999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1509638.58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90749.81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141959.29</v>
      </c>
      <c r="D12" s="95">
        <f>'DOE25'!G13</f>
        <v>12604.83</v>
      </c>
      <c r="E12" s="95">
        <f>'DOE25'!H13</f>
        <v>86190.78</v>
      </c>
      <c r="F12" s="95">
        <f>'DOE25'!I13</f>
        <v>0</v>
      </c>
      <c r="G12" s="95">
        <f>'DOE25'!J13</f>
        <v>97203.29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7542.2</v>
      </c>
      <c r="D13" s="95">
        <f>'DOE25'!G14</f>
        <v>63.78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8075.5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1296894.3500000001</v>
      </c>
      <c r="D18" s="41">
        <f>SUM(D8:D17)</f>
        <v>12668.61</v>
      </c>
      <c r="E18" s="41">
        <f>SUM(E8:E17)</f>
        <v>86190.78</v>
      </c>
      <c r="F18" s="41">
        <f>SUM(F8:F17)</f>
        <v>30.94</v>
      </c>
      <c r="G18" s="41">
        <f>SUM(G8:G17)</f>
        <v>160796.88999999998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5031.99</v>
      </c>
      <c r="E21" s="95">
        <f>'DOE25'!H22</f>
        <v>85717.82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4609.97</v>
      </c>
      <c r="D22" s="95">
        <f>'DOE25'!G23</f>
        <v>20434.919999999998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234240.01</v>
      </c>
      <c r="D23" s="95">
        <f>'DOE25'!G24</f>
        <v>448.75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545.85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22257.49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2350</v>
      </c>
      <c r="D29" s="95">
        <f>'DOE25'!G30</f>
        <v>0</v>
      </c>
      <c r="E29" s="95">
        <f>'DOE25'!H30</f>
        <v>472.96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56.7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63593.599999999999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264060.02</v>
      </c>
      <c r="D31" s="41">
        <f>SUM(D21:D30)</f>
        <v>25915.659999999996</v>
      </c>
      <c r="E31" s="41">
        <f>SUM(E21:E30)</f>
        <v>86190.780000000013</v>
      </c>
      <c r="F31" s="41">
        <f>SUM(F21:F30)</f>
        <v>0</v>
      </c>
      <c r="G31" s="41">
        <f>SUM(G21:G30)</f>
        <v>63593.599999999999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50000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420.85</v>
      </c>
      <c r="D47" s="95">
        <f>'DOE25'!G48</f>
        <v>-13589.050000000001</v>
      </c>
      <c r="E47" s="95">
        <f>'DOE25'!H48</f>
        <v>0</v>
      </c>
      <c r="F47" s="95">
        <f>'DOE25'!I48</f>
        <v>30.94</v>
      </c>
      <c r="G47" s="95">
        <f>'DOE25'!J48</f>
        <v>97203.290000000008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42066.400000000001</v>
      </c>
      <c r="D48" s="95">
        <f>'DOE25'!G49</f>
        <v>342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940347.08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1032834.33</v>
      </c>
      <c r="D50" s="41">
        <f>SUM(D34:D49)</f>
        <v>-13247.050000000001</v>
      </c>
      <c r="E50" s="41">
        <f>SUM(E34:E49)</f>
        <v>0</v>
      </c>
      <c r="F50" s="41">
        <f>SUM(F34:F49)</f>
        <v>30.94</v>
      </c>
      <c r="G50" s="41">
        <f>SUM(G34:G49)</f>
        <v>97203.290000000008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1296894.3500000001</v>
      </c>
      <c r="D51" s="41">
        <f>D50+D31</f>
        <v>12668.609999999995</v>
      </c>
      <c r="E51" s="41">
        <f>E50+E31</f>
        <v>86190.780000000013</v>
      </c>
      <c r="F51" s="41">
        <f>F50+F31</f>
        <v>30.94</v>
      </c>
      <c r="G51" s="41">
        <f>G50+G31</f>
        <v>160796.89000000001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16569682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1123423.45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7372.05</v>
      </c>
      <c r="D59" s="95">
        <f>'DOE25'!G96</f>
        <v>0</v>
      </c>
      <c r="E59" s="95">
        <f>'DOE25'!H96</f>
        <v>0</v>
      </c>
      <c r="F59" s="95">
        <f>'DOE25'!I96</f>
        <v>0.02</v>
      </c>
      <c r="G59" s="95">
        <f>'DOE25'!J96</f>
        <v>13.6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338216.02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498467.95999999996</v>
      </c>
      <c r="D61" s="95">
        <f>SUM('DOE25'!G98:G110)</f>
        <v>1134.8599999999999</v>
      </c>
      <c r="E61" s="95">
        <f>SUM('DOE25'!H98:H110)</f>
        <v>6699.53</v>
      </c>
      <c r="F61" s="95">
        <f>SUM('DOE25'!I98:I110)</f>
        <v>0</v>
      </c>
      <c r="G61" s="95">
        <f>SUM('DOE25'!J98:J110)</f>
        <v>9606.4699999999993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1629263.46</v>
      </c>
      <c r="D62" s="130">
        <f>SUM(D57:D61)</f>
        <v>339350.88</v>
      </c>
      <c r="E62" s="130">
        <f>SUM(E57:E61)</f>
        <v>6699.53</v>
      </c>
      <c r="F62" s="130">
        <f>SUM(F57:F61)</f>
        <v>0.02</v>
      </c>
      <c r="G62" s="130">
        <f>SUM(G57:G61)</f>
        <v>9620.07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18198945.460000001</v>
      </c>
      <c r="D63" s="22">
        <f>D56+D62</f>
        <v>339350.88</v>
      </c>
      <c r="E63" s="22">
        <f>E56+E62</f>
        <v>6699.53</v>
      </c>
      <c r="F63" s="22">
        <f>F56+F62</f>
        <v>0.02</v>
      </c>
      <c r="G63" s="22">
        <f>G56+G62</f>
        <v>9620.07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2252927.44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2438071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4690998.4399999995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96529.46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280586.69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3929.61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377116.15</v>
      </c>
      <c r="D78" s="130">
        <f>SUM(D72:D77)</f>
        <v>3929.61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5068114.59</v>
      </c>
      <c r="D81" s="130">
        <f>SUM(D79:D80)+D78+D70</f>
        <v>3929.61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310486.71000000002</v>
      </c>
      <c r="D88" s="95">
        <f>SUM('DOE25'!G153:G161)</f>
        <v>87563.46</v>
      </c>
      <c r="E88" s="95">
        <f>SUM('DOE25'!H153:H161)</f>
        <v>357486.49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310486.71000000002</v>
      </c>
      <c r="D91" s="131">
        <f>SUM(D85:D90)</f>
        <v>87563.46</v>
      </c>
      <c r="E91" s="131">
        <f>SUM(E85:E90)</f>
        <v>357486.49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80000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80000</v>
      </c>
    </row>
    <row r="104" spans="1:7" ht="12.75" thickTop="1" thickBot="1" x14ac:dyDescent="0.25">
      <c r="A104" s="33" t="s">
        <v>765</v>
      </c>
      <c r="C104" s="86">
        <f>C63+C81+C91+C103</f>
        <v>23577546.760000002</v>
      </c>
      <c r="D104" s="86">
        <f>D63+D81+D91+D103</f>
        <v>430843.95</v>
      </c>
      <c r="E104" s="86">
        <f>E63+E81+E91+E103</f>
        <v>364186.02</v>
      </c>
      <c r="F104" s="86">
        <f>F63+F81+F91+F103</f>
        <v>0.02</v>
      </c>
      <c r="G104" s="86">
        <f>G63+G81+G103</f>
        <v>89620.07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10418026.470000001</v>
      </c>
      <c r="D109" s="24" t="s">
        <v>289</v>
      </c>
      <c r="E109" s="95">
        <f>('DOE25'!L276)+('DOE25'!L295)+('DOE25'!L314)</f>
        <v>34945.49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5295008.7799999993</v>
      </c>
      <c r="D110" s="24" t="s">
        <v>289</v>
      </c>
      <c r="E110" s="95">
        <f>('DOE25'!L277)+('DOE25'!L296)+('DOE25'!L315)</f>
        <v>245319.88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115238.6</v>
      </c>
      <c r="D112" s="24" t="s">
        <v>289</v>
      </c>
      <c r="E112" s="95">
        <f>+('DOE25'!L279)+('DOE25'!L298)+('DOE25'!L317)</f>
        <v>1349.95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15828273.85</v>
      </c>
      <c r="D115" s="86">
        <f>SUM(D109:D114)</f>
        <v>0</v>
      </c>
      <c r="E115" s="86">
        <f>SUM(E109:E114)</f>
        <v>281615.32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1097343.22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498177.57999999996</v>
      </c>
      <c r="D119" s="24" t="s">
        <v>289</v>
      </c>
      <c r="E119" s="95">
        <f>+('DOE25'!L282)+('DOE25'!L301)+('DOE25'!L320)</f>
        <v>74685.5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1236887.54</v>
      </c>
      <c r="D120" s="24" t="s">
        <v>289</v>
      </c>
      <c r="E120" s="95">
        <f>+('DOE25'!L283)+('DOE25'!L302)+('DOE25'!L321)</f>
        <v>7835.2000000000007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1320473.45</v>
      </c>
      <c r="D121" s="24" t="s">
        <v>289</v>
      </c>
      <c r="E121" s="95">
        <f>+('DOE25'!L284)+('DOE25'!L303)+('DOE25'!L322)</f>
        <v>50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580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1536416.9900000002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713983.24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372987.26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450721.4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6776849.2800000003</v>
      </c>
      <c r="D128" s="86">
        <f>SUM(D118:D127)</f>
        <v>450721.4</v>
      </c>
      <c r="E128" s="86">
        <f>SUM(E118:E127)</f>
        <v>82570.7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22783.16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185850.01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80013.600000000006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9606.4699999999993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-9620.070000000007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688633.16999999993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23293756.299999997</v>
      </c>
      <c r="D145" s="86">
        <f>(D115+D128+D144)</f>
        <v>450721.4</v>
      </c>
      <c r="E145" s="86">
        <f>(E115+E128+E144)</f>
        <v>364186.02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12/11</v>
      </c>
      <c r="C152" s="152" t="str">
        <f>'DOE25'!G491</f>
        <v>07/08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07/21</v>
      </c>
      <c r="C153" s="152" t="str">
        <f>'DOE25'!G492</f>
        <v>08/28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1717000</v>
      </c>
      <c r="C154" s="137">
        <f>'DOE25'!G493</f>
        <v>3883620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1.62</v>
      </c>
      <c r="C155" s="137">
        <f>'DOE25'!G494</f>
        <v>4.24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1705000</v>
      </c>
      <c r="C156" s="137">
        <f>'DOE25'!G495</f>
        <v>3105000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4810000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205000</v>
      </c>
      <c r="C158" s="137">
        <f>'DOE25'!G497</f>
        <v>195000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400000</v>
      </c>
    </row>
    <row r="159" spans="1:9" x14ac:dyDescent="0.2">
      <c r="A159" s="22" t="s">
        <v>35</v>
      </c>
      <c r="B159" s="137">
        <f>'DOE25'!F498</f>
        <v>1500000</v>
      </c>
      <c r="C159" s="137">
        <f>'DOE25'!G498</f>
        <v>2910000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4410000</v>
      </c>
    </row>
    <row r="160" spans="1:9" x14ac:dyDescent="0.2">
      <c r="A160" s="22" t="s">
        <v>36</v>
      </c>
      <c r="B160" s="137">
        <f>'DOE25'!F499</f>
        <v>181475</v>
      </c>
      <c r="C160" s="137">
        <f>'DOE25'!G499</f>
        <v>971815.73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1153290.73</v>
      </c>
    </row>
    <row r="161" spans="1:7" x14ac:dyDescent="0.2">
      <c r="A161" s="22" t="s">
        <v>37</v>
      </c>
      <c r="B161" s="137">
        <f>'DOE25'!F500</f>
        <v>1681475</v>
      </c>
      <c r="C161" s="137">
        <f>'DOE25'!G500</f>
        <v>3881815.73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5563290.7300000004</v>
      </c>
    </row>
    <row r="162" spans="1:7" x14ac:dyDescent="0.2">
      <c r="A162" s="22" t="s">
        <v>38</v>
      </c>
      <c r="B162" s="137">
        <f>'DOE25'!F501</f>
        <v>200000</v>
      </c>
      <c r="C162" s="137">
        <f>'DOE25'!G501</f>
        <v>195000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395000</v>
      </c>
    </row>
    <row r="163" spans="1:7" x14ac:dyDescent="0.2">
      <c r="A163" s="22" t="s">
        <v>39</v>
      </c>
      <c r="B163" s="137">
        <f>'DOE25'!F502</f>
        <v>40850</v>
      </c>
      <c r="C163" s="137">
        <f>'DOE25'!G502</f>
        <v>130712.51000000001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171562.51</v>
      </c>
    </row>
    <row r="164" spans="1:7" x14ac:dyDescent="0.2">
      <c r="A164" s="22" t="s">
        <v>246</v>
      </c>
      <c r="B164" s="137">
        <f>'DOE25'!F503</f>
        <v>240850</v>
      </c>
      <c r="C164" s="137">
        <f>'DOE25'!G503</f>
        <v>325712.51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566562.51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AMHERST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18333</v>
      </c>
    </row>
    <row r="5" spans="1:4" x14ac:dyDescent="0.2">
      <c r="B5" t="s">
        <v>704</v>
      </c>
      <c r="C5" s="179">
        <f>IF('DOE25'!G665+'DOE25'!G670=0,0,ROUND('DOE25'!G672,0))</f>
        <v>16781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17480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10452972</v>
      </c>
      <c r="D10" s="182">
        <f>ROUND((C10/$C$28)*100,1)</f>
        <v>44.9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5540329</v>
      </c>
      <c r="D11" s="182">
        <f>ROUND((C11/$C$28)*100,1)</f>
        <v>23.8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116589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1097343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572863</v>
      </c>
      <c r="D16" s="182">
        <f t="shared" si="0"/>
        <v>2.5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1617710</v>
      </c>
      <c r="D17" s="182">
        <f t="shared" si="0"/>
        <v>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1320523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580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1536417</v>
      </c>
      <c r="D20" s="182">
        <f t="shared" si="0"/>
        <v>6.6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713983</v>
      </c>
      <c r="D21" s="182">
        <f t="shared" si="0"/>
        <v>3.1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185850</v>
      </c>
      <c r="D25" s="182">
        <f t="shared" si="0"/>
        <v>0.8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111370.11999999994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23266529.120000001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22783</v>
      </c>
    </row>
    <row r="30" spans="1:4" x14ac:dyDescent="0.2">
      <c r="B30" s="187" t="s">
        <v>729</v>
      </c>
      <c r="C30" s="180">
        <f>SUM(C28:C29)</f>
        <v>23289312.120000001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400000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16569682</v>
      </c>
      <c r="D35" s="182">
        <f t="shared" ref="D35:D40" si="1">ROUND((C35/$C$41)*100,1)</f>
        <v>68.900000000000006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1645583.0800000019</v>
      </c>
      <c r="D36" s="182">
        <f t="shared" si="1"/>
        <v>6.8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4690998</v>
      </c>
      <c r="D37" s="182">
        <f t="shared" si="1"/>
        <v>19.5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381046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755537</v>
      </c>
      <c r="D39" s="182">
        <f t="shared" si="1"/>
        <v>3.1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24042846.080000002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AMHERST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23</v>
      </c>
      <c r="C4" s="285" t="s">
        <v>918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2014-08-12T15:23:00Z</cp:lastPrinted>
  <dcterms:created xsi:type="dcterms:W3CDTF">1997-12-04T19:04:30Z</dcterms:created>
  <dcterms:modified xsi:type="dcterms:W3CDTF">2014-10-24T16:21:19Z</dcterms:modified>
</cp:coreProperties>
</file>