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workbookProtection workbookPassword="A70A" lockStructure="1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F49" i="1" l="1"/>
  <c r="F50" i="1"/>
  <c r="H207" i="1"/>
  <c r="H197" i="1"/>
  <c r="J358" i="1"/>
  <c r="F12" i="1"/>
  <c r="G22" i="1"/>
  <c r="F9" i="1"/>
  <c r="F14" i="1" l="1"/>
  <c r="F28" i="1"/>
  <c r="F367" i="1" l="1"/>
  <c r="H591" i="1"/>
  <c r="F442" i="1"/>
  <c r="F110" i="1" l="1"/>
  <c r="H244" i="1"/>
  <c r="K263" i="1"/>
  <c r="G179" i="1"/>
  <c r="I358" i="1"/>
  <c r="F96" i="1"/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C17" i="10" s="1"/>
  <c r="L222" i="1"/>
  <c r="L240" i="1"/>
  <c r="D39" i="13"/>
  <c r="F13" i="13"/>
  <c r="G13" i="13"/>
  <c r="L206" i="1"/>
  <c r="L224" i="1"/>
  <c r="L242" i="1"/>
  <c r="F16" i="13"/>
  <c r="E16" i="13" s="1"/>
  <c r="G16" i="13"/>
  <c r="L209" i="1"/>
  <c r="L227" i="1"/>
  <c r="L245" i="1"/>
  <c r="F5" i="13"/>
  <c r="G5" i="13"/>
  <c r="L197" i="1"/>
  <c r="L198" i="1"/>
  <c r="L199" i="1"/>
  <c r="L200" i="1"/>
  <c r="L215" i="1"/>
  <c r="L216" i="1"/>
  <c r="L217" i="1"/>
  <c r="L218" i="1"/>
  <c r="L229" i="1" s="1"/>
  <c r="L233" i="1"/>
  <c r="L234" i="1"/>
  <c r="L235" i="1"/>
  <c r="L236" i="1"/>
  <c r="F6" i="13"/>
  <c r="G6" i="13"/>
  <c r="L202" i="1"/>
  <c r="L220" i="1"/>
  <c r="D6" i="13" s="1"/>
  <c r="C6" i="13" s="1"/>
  <c r="L238" i="1"/>
  <c r="F7" i="13"/>
  <c r="G7" i="13"/>
  <c r="L203" i="1"/>
  <c r="L221" i="1"/>
  <c r="L239" i="1"/>
  <c r="F12" i="13"/>
  <c r="G12" i="13"/>
  <c r="L205" i="1"/>
  <c r="C18" i="10" s="1"/>
  <c r="L223" i="1"/>
  <c r="L241" i="1"/>
  <c r="F14" i="13"/>
  <c r="G14" i="13"/>
  <c r="L207" i="1"/>
  <c r="D14" i="13" s="1"/>
  <c r="C14" i="13" s="1"/>
  <c r="L225" i="1"/>
  <c r="L243" i="1"/>
  <c r="F15" i="13"/>
  <c r="G15" i="13"/>
  <c r="L208" i="1"/>
  <c r="L226" i="1"/>
  <c r="L244" i="1"/>
  <c r="F17" i="13"/>
  <c r="G17" i="13"/>
  <c r="L251" i="1"/>
  <c r="D17" i="13" s="1"/>
  <c r="C17" i="13" s="1"/>
  <c r="F18" i="13"/>
  <c r="D18" i="13" s="1"/>
  <c r="C18" i="13" s="1"/>
  <c r="G18" i="13"/>
  <c r="L252" i="1"/>
  <c r="F19" i="13"/>
  <c r="G19" i="13"/>
  <c r="L253" i="1"/>
  <c r="F29" i="13"/>
  <c r="G29" i="13"/>
  <c r="L358" i="1"/>
  <c r="H661" i="1" s="1"/>
  <c r="L359" i="1"/>
  <c r="D127" i="2" s="1"/>
  <c r="D128" i="2" s="1"/>
  <c r="L360" i="1"/>
  <c r="I367" i="1"/>
  <c r="J290" i="1"/>
  <c r="J309" i="1"/>
  <c r="J328" i="1"/>
  <c r="K290" i="1"/>
  <c r="K309" i="1"/>
  <c r="K328" i="1"/>
  <c r="L276" i="1"/>
  <c r="E109" i="2" s="1"/>
  <c r="L277" i="1"/>
  <c r="L278" i="1"/>
  <c r="L279" i="1"/>
  <c r="L281" i="1"/>
  <c r="E118" i="2" s="1"/>
  <c r="L282" i="1"/>
  <c r="E119" i="2" s="1"/>
  <c r="L283" i="1"/>
  <c r="E120" i="2" s="1"/>
  <c r="L284" i="1"/>
  <c r="E121" i="2" s="1"/>
  <c r="L285" i="1"/>
  <c r="E122" i="2" s="1"/>
  <c r="L286" i="1"/>
  <c r="L287" i="1"/>
  <c r="L288" i="1"/>
  <c r="L295" i="1"/>
  <c r="L296" i="1"/>
  <c r="L297" i="1"/>
  <c r="E111" i="2" s="1"/>
  <c r="L298" i="1"/>
  <c r="E112" i="2" s="1"/>
  <c r="L300" i="1"/>
  <c r="L301" i="1"/>
  <c r="L302" i="1"/>
  <c r="L303" i="1"/>
  <c r="L304" i="1"/>
  <c r="L305" i="1"/>
  <c r="E123" i="2" s="1"/>
  <c r="L306" i="1"/>
  <c r="E124" i="2" s="1"/>
  <c r="L307" i="1"/>
  <c r="E125" i="2" s="1"/>
  <c r="L314" i="1"/>
  <c r="L315" i="1"/>
  <c r="L316" i="1"/>
  <c r="L317" i="1"/>
  <c r="L319" i="1"/>
  <c r="L320" i="1"/>
  <c r="L328" i="1" s="1"/>
  <c r="L321" i="1"/>
  <c r="L322" i="1"/>
  <c r="L323" i="1"/>
  <c r="L324" i="1"/>
  <c r="L325" i="1"/>
  <c r="L326" i="1"/>
  <c r="L333" i="1"/>
  <c r="L334" i="1"/>
  <c r="E114" i="2" s="1"/>
  <c r="L335" i="1"/>
  <c r="L260" i="1"/>
  <c r="C131" i="2" s="1"/>
  <c r="L261" i="1"/>
  <c r="L341" i="1"/>
  <c r="L342" i="1"/>
  <c r="L255" i="1"/>
  <c r="L336" i="1"/>
  <c r="C11" i="13"/>
  <c r="C10" i="13"/>
  <c r="C9" i="13"/>
  <c r="L361" i="1"/>
  <c r="B4" i="12"/>
  <c r="B36" i="12"/>
  <c r="C36" i="12"/>
  <c r="B40" i="12"/>
  <c r="C40" i="12"/>
  <c r="A40" i="12" s="1"/>
  <c r="B27" i="12"/>
  <c r="A31" i="12" s="1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3" i="1" s="1"/>
  <c r="C138" i="2" s="1"/>
  <c r="L390" i="1"/>
  <c r="L391" i="1"/>
  <c r="L392" i="1"/>
  <c r="L395" i="1"/>
  <c r="L396" i="1"/>
  <c r="L397" i="1"/>
  <c r="L398" i="1"/>
  <c r="L399" i="1"/>
  <c r="L401" i="1" s="1"/>
  <c r="C139" i="2" s="1"/>
  <c r="L400" i="1"/>
  <c r="L403" i="1"/>
  <c r="L404" i="1"/>
  <c r="L405" i="1"/>
  <c r="L406" i="1"/>
  <c r="L266" i="1"/>
  <c r="J60" i="1"/>
  <c r="G56" i="2" s="1"/>
  <c r="G59" i="2"/>
  <c r="G62" i="2" s="1"/>
  <c r="G61" i="2"/>
  <c r="F2" i="11"/>
  <c r="L613" i="1"/>
  <c r="H663" i="1" s="1"/>
  <c r="L612" i="1"/>
  <c r="G663" i="1" s="1"/>
  <c r="L611" i="1"/>
  <c r="F663" i="1" s="1"/>
  <c r="C40" i="10"/>
  <c r="F60" i="1"/>
  <c r="C56" i="2" s="1"/>
  <c r="G60" i="1"/>
  <c r="C35" i="10" s="1"/>
  <c r="H60" i="1"/>
  <c r="E56" i="2" s="1"/>
  <c r="I60" i="1"/>
  <c r="F56" i="2" s="1"/>
  <c r="F79" i="1"/>
  <c r="F94" i="1"/>
  <c r="F111" i="1"/>
  <c r="G111" i="1"/>
  <c r="H79" i="1"/>
  <c r="H94" i="1"/>
  <c r="E58" i="2" s="1"/>
  <c r="H111" i="1"/>
  <c r="I111" i="1"/>
  <c r="I112" i="1" s="1"/>
  <c r="J111" i="1"/>
  <c r="J112" i="1" s="1"/>
  <c r="F121" i="1"/>
  <c r="F136" i="1"/>
  <c r="G121" i="1"/>
  <c r="G136" i="1"/>
  <c r="H121" i="1"/>
  <c r="H140" i="1" s="1"/>
  <c r="H136" i="1"/>
  <c r="I121" i="1"/>
  <c r="I136" i="1"/>
  <c r="J121" i="1"/>
  <c r="J136" i="1"/>
  <c r="F147" i="1"/>
  <c r="F162" i="1"/>
  <c r="F169" i="1" s="1"/>
  <c r="G147" i="1"/>
  <c r="G162" i="1"/>
  <c r="H147" i="1"/>
  <c r="H162" i="1"/>
  <c r="H169" i="1" s="1"/>
  <c r="I147" i="1"/>
  <c r="I162" i="1"/>
  <c r="L250" i="1"/>
  <c r="L332" i="1"/>
  <c r="L254" i="1"/>
  <c r="C25" i="10"/>
  <c r="L268" i="1"/>
  <c r="L269" i="1"/>
  <c r="L349" i="1"/>
  <c r="L350" i="1"/>
  <c r="E143" i="2" s="1"/>
  <c r="I665" i="1"/>
  <c r="I670" i="1"/>
  <c r="G662" i="1"/>
  <c r="H662" i="1"/>
  <c r="I669" i="1"/>
  <c r="C42" i="10"/>
  <c r="L374" i="1"/>
  <c r="L375" i="1"/>
  <c r="F130" i="2" s="1"/>
  <c r="L376" i="1"/>
  <c r="L377" i="1"/>
  <c r="C29" i="10" s="1"/>
  <c r="L378" i="1"/>
  <c r="L379" i="1"/>
  <c r="L380" i="1"/>
  <c r="B2" i="10"/>
  <c r="L344" i="1"/>
  <c r="L345" i="1"/>
  <c r="E135" i="2" s="1"/>
  <c r="L346" i="1"/>
  <c r="L351" i="1" s="1"/>
  <c r="L347" i="1"/>
  <c r="K351" i="1"/>
  <c r="L521" i="1"/>
  <c r="F549" i="1" s="1"/>
  <c r="L522" i="1"/>
  <c r="F550" i="1" s="1"/>
  <c r="L523" i="1"/>
  <c r="F551" i="1" s="1"/>
  <c r="L526" i="1"/>
  <c r="G549" i="1" s="1"/>
  <c r="L527" i="1"/>
  <c r="G550" i="1" s="1"/>
  <c r="L528" i="1"/>
  <c r="G551" i="1" s="1"/>
  <c r="L531" i="1"/>
  <c r="H549" i="1" s="1"/>
  <c r="H552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L542" i="1"/>
  <c r="J550" i="1" s="1"/>
  <c r="L543" i="1"/>
  <c r="J551" i="1" s="1"/>
  <c r="E132" i="2"/>
  <c r="E131" i="2"/>
  <c r="K270" i="1"/>
  <c r="J270" i="1"/>
  <c r="I270" i="1"/>
  <c r="H270" i="1"/>
  <c r="G270" i="1"/>
  <c r="F270" i="1"/>
  <c r="C132" i="2"/>
  <c r="A1" i="2"/>
  <c r="A2" i="2"/>
  <c r="C8" i="2"/>
  <c r="D8" i="2"/>
  <c r="E8" i="2"/>
  <c r="F8" i="2"/>
  <c r="F18" i="2" s="1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D31" i="2" s="1"/>
  <c r="E21" i="2"/>
  <c r="E31" i="2" s="1"/>
  <c r="F21" i="2"/>
  <c r="I448" i="1"/>
  <c r="J22" i="1" s="1"/>
  <c r="C22" i="2"/>
  <c r="D22" i="2"/>
  <c r="E22" i="2"/>
  <c r="F22" i="2"/>
  <c r="I449" i="1"/>
  <c r="J23" i="1" s="1"/>
  <c r="G22" i="2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G36" i="2" s="1"/>
  <c r="I459" i="1"/>
  <c r="J48" i="1" s="1"/>
  <c r="G47" i="2" s="1"/>
  <c r="C49" i="2"/>
  <c r="C57" i="2"/>
  <c r="E57" i="2"/>
  <c r="C58" i="2"/>
  <c r="C59" i="2"/>
  <c r="D59" i="2"/>
  <c r="E59" i="2"/>
  <c r="F59" i="2"/>
  <c r="D60" i="2"/>
  <c r="D62" i="2" s="1"/>
  <c r="C61" i="2"/>
  <c r="C62" i="2" s="1"/>
  <c r="D61" i="2"/>
  <c r="E61" i="2"/>
  <c r="F61" i="2"/>
  <c r="C66" i="2"/>
  <c r="C67" i="2"/>
  <c r="C69" i="2"/>
  <c r="D69" i="2"/>
  <c r="D70" i="2" s="1"/>
  <c r="D81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F76" i="2"/>
  <c r="C77" i="2"/>
  <c r="D77" i="2"/>
  <c r="D78" i="2" s="1"/>
  <c r="E77" i="2"/>
  <c r="E78" i="2" s="1"/>
  <c r="E81" i="2" s="1"/>
  <c r="F77" i="2"/>
  <c r="F78" i="2" s="1"/>
  <c r="F81" i="2" s="1"/>
  <c r="G77" i="2"/>
  <c r="G78" i="2" s="1"/>
  <c r="G81" i="2" s="1"/>
  <c r="C79" i="2"/>
  <c r="D79" i="2"/>
  <c r="E79" i="2"/>
  <c r="C80" i="2"/>
  <c r="E80" i="2"/>
  <c r="C85" i="2"/>
  <c r="C91" i="2" s="1"/>
  <c r="D85" i="2"/>
  <c r="D91" i="2" s="1"/>
  <c r="E85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C111" i="2"/>
  <c r="C113" i="2"/>
  <c r="E113" i="2"/>
  <c r="D115" i="2"/>
  <c r="F115" i="2"/>
  <c r="G115" i="2"/>
  <c r="C118" i="2"/>
  <c r="C119" i="2"/>
  <c r="C122" i="2"/>
  <c r="C125" i="2"/>
  <c r="F128" i="2"/>
  <c r="G128" i="2"/>
  <c r="C130" i="2"/>
  <c r="E130" i="2"/>
  <c r="D134" i="2"/>
  <c r="D144" i="2" s="1"/>
  <c r="E134" i="2"/>
  <c r="F134" i="2"/>
  <c r="K419" i="1"/>
  <c r="K427" i="1"/>
  <c r="K433" i="1"/>
  <c r="L263" i="1"/>
  <c r="C135" i="2" s="1"/>
  <c r="L264" i="1"/>
  <c r="C136" i="2" s="1"/>
  <c r="L265" i="1"/>
  <c r="C137" i="2" s="1"/>
  <c r="E137" i="2"/>
  <c r="C142" i="2"/>
  <c r="E142" i="2"/>
  <c r="C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G156" i="2" s="1"/>
  <c r="E156" i="2"/>
  <c r="F156" i="2"/>
  <c r="B157" i="2"/>
  <c r="C157" i="2"/>
  <c r="D157" i="2"/>
  <c r="E157" i="2"/>
  <c r="F157" i="2"/>
  <c r="G157" i="2" s="1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G164" i="2" s="1"/>
  <c r="H503" i="1"/>
  <c r="D164" i="2" s="1"/>
  <c r="I503" i="1"/>
  <c r="E164" i="2" s="1"/>
  <c r="J503" i="1"/>
  <c r="F164" i="2" s="1"/>
  <c r="F19" i="1"/>
  <c r="G617" i="1" s="1"/>
  <c r="G19" i="1"/>
  <c r="G618" i="1" s="1"/>
  <c r="H19" i="1"/>
  <c r="G619" i="1" s="1"/>
  <c r="I19" i="1"/>
  <c r="F32" i="1"/>
  <c r="F52" i="1" s="1"/>
  <c r="H617" i="1" s="1"/>
  <c r="G32" i="1"/>
  <c r="G52" i="1" s="1"/>
  <c r="H618" i="1" s="1"/>
  <c r="H32" i="1"/>
  <c r="I32" i="1"/>
  <c r="H51" i="1"/>
  <c r="I51" i="1"/>
  <c r="I52" i="1" s="1"/>
  <c r="H620" i="1" s="1"/>
  <c r="F177" i="1"/>
  <c r="F192" i="1" s="1"/>
  <c r="I177" i="1"/>
  <c r="F183" i="1"/>
  <c r="G183" i="1"/>
  <c r="G192" i="1" s="1"/>
  <c r="H183" i="1"/>
  <c r="I183" i="1"/>
  <c r="J183" i="1"/>
  <c r="J192" i="1" s="1"/>
  <c r="F188" i="1"/>
  <c r="G188" i="1"/>
  <c r="H188" i="1"/>
  <c r="I188" i="1"/>
  <c r="F211" i="1"/>
  <c r="G211" i="1"/>
  <c r="H211" i="1"/>
  <c r="I211" i="1"/>
  <c r="I257" i="1" s="1"/>
  <c r="I271" i="1" s="1"/>
  <c r="J211" i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F290" i="1"/>
  <c r="G290" i="1"/>
  <c r="H290" i="1"/>
  <c r="H338" i="1" s="1"/>
  <c r="H352" i="1" s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J338" i="1" s="1"/>
  <c r="J352" i="1" s="1"/>
  <c r="K337" i="1"/>
  <c r="F362" i="1"/>
  <c r="G362" i="1"/>
  <c r="H362" i="1"/>
  <c r="I362" i="1"/>
  <c r="G634" i="1" s="1"/>
  <c r="J362" i="1"/>
  <c r="K362" i="1"/>
  <c r="I368" i="1"/>
  <c r="F369" i="1"/>
  <c r="G369" i="1"/>
  <c r="H369" i="1"/>
  <c r="L381" i="1"/>
  <c r="L382" i="1" s="1"/>
  <c r="G636" i="1" s="1"/>
  <c r="J636" i="1" s="1"/>
  <c r="F382" i="1"/>
  <c r="G382" i="1"/>
  <c r="H382" i="1"/>
  <c r="I382" i="1"/>
  <c r="J382" i="1"/>
  <c r="K382" i="1"/>
  <c r="F393" i="1"/>
  <c r="F408" i="1" s="1"/>
  <c r="H643" i="1" s="1"/>
  <c r="J643" i="1" s="1"/>
  <c r="G393" i="1"/>
  <c r="G408" i="1" s="1"/>
  <c r="H645" i="1" s="1"/>
  <c r="J645" i="1" s="1"/>
  <c r="H393" i="1"/>
  <c r="I393" i="1"/>
  <c r="F401" i="1"/>
  <c r="G401" i="1"/>
  <c r="H401" i="1"/>
  <c r="H408" i="1" s="1"/>
  <c r="H644" i="1" s="1"/>
  <c r="I401" i="1"/>
  <c r="I408" i="1" s="1"/>
  <c r="F407" i="1"/>
  <c r="G407" i="1"/>
  <c r="H407" i="1"/>
  <c r="I407" i="1"/>
  <c r="L413" i="1"/>
  <c r="L419" i="1" s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7" i="1" s="1"/>
  <c r="L426" i="1"/>
  <c r="F427" i="1"/>
  <c r="G427" i="1"/>
  <c r="H427" i="1"/>
  <c r="I427" i="1"/>
  <c r="J427" i="1"/>
  <c r="L429" i="1"/>
  <c r="L430" i="1"/>
  <c r="L433" i="1" s="1"/>
  <c r="L431" i="1"/>
  <c r="L432" i="1"/>
  <c r="F433" i="1"/>
  <c r="G433" i="1"/>
  <c r="H433" i="1"/>
  <c r="I433" i="1"/>
  <c r="J433" i="1"/>
  <c r="F446" i="1"/>
  <c r="G639" i="1" s="1"/>
  <c r="G446" i="1"/>
  <c r="G640" i="1" s="1"/>
  <c r="J640" i="1" s="1"/>
  <c r="H446" i="1"/>
  <c r="F452" i="1"/>
  <c r="G452" i="1"/>
  <c r="H452" i="1"/>
  <c r="F460" i="1"/>
  <c r="F461" i="1" s="1"/>
  <c r="H639" i="1" s="1"/>
  <c r="G460" i="1"/>
  <c r="G461" i="1" s="1"/>
  <c r="H640" i="1" s="1"/>
  <c r="H460" i="1"/>
  <c r="H461" i="1" s="1"/>
  <c r="H641" i="1" s="1"/>
  <c r="H470" i="1"/>
  <c r="I470" i="1"/>
  <c r="J470" i="1"/>
  <c r="I474" i="1"/>
  <c r="J474" i="1"/>
  <c r="K495" i="1"/>
  <c r="K496" i="1"/>
  <c r="K497" i="1"/>
  <c r="K498" i="1"/>
  <c r="K499" i="1"/>
  <c r="K501" i="1"/>
  <c r="K502" i="1"/>
  <c r="K503" i="1"/>
  <c r="F517" i="1"/>
  <c r="G517" i="1"/>
  <c r="H517" i="1"/>
  <c r="I517" i="1"/>
  <c r="F524" i="1"/>
  <c r="G524" i="1"/>
  <c r="H524" i="1"/>
  <c r="I524" i="1"/>
  <c r="I545" i="1" s="1"/>
  <c r="J524" i="1"/>
  <c r="K524" i="1"/>
  <c r="F529" i="1"/>
  <c r="G529" i="1"/>
  <c r="H529" i="1"/>
  <c r="I529" i="1"/>
  <c r="J529" i="1"/>
  <c r="J545" i="1" s="1"/>
  <c r="K529" i="1"/>
  <c r="F534" i="1"/>
  <c r="G534" i="1"/>
  <c r="H534" i="1"/>
  <c r="I534" i="1"/>
  <c r="J534" i="1"/>
  <c r="K534" i="1"/>
  <c r="F539" i="1"/>
  <c r="G539" i="1"/>
  <c r="H539" i="1"/>
  <c r="I539" i="1"/>
  <c r="J539" i="1"/>
  <c r="K539" i="1"/>
  <c r="L539" i="1"/>
  <c r="F544" i="1"/>
  <c r="G544" i="1"/>
  <c r="H544" i="1"/>
  <c r="I544" i="1"/>
  <c r="J544" i="1"/>
  <c r="K544" i="1"/>
  <c r="L557" i="1"/>
  <c r="L560" i="1" s="1"/>
  <c r="L558" i="1"/>
  <c r="L559" i="1"/>
  <c r="F560" i="1"/>
  <c r="G560" i="1"/>
  <c r="H560" i="1"/>
  <c r="I560" i="1"/>
  <c r="I571" i="1" s="1"/>
  <c r="J560" i="1"/>
  <c r="J571" i="1" s="1"/>
  <c r="K560" i="1"/>
  <c r="K571" i="1" s="1"/>
  <c r="L562" i="1"/>
  <c r="L563" i="1"/>
  <c r="L564" i="1"/>
  <c r="F565" i="1"/>
  <c r="G565" i="1"/>
  <c r="H565" i="1"/>
  <c r="H571" i="1" s="1"/>
  <c r="I565" i="1"/>
  <c r="J565" i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J651" i="1" s="1"/>
  <c r="K602" i="1"/>
  <c r="K603" i="1"/>
  <c r="K604" i="1"/>
  <c r="H605" i="1"/>
  <c r="I605" i="1"/>
  <c r="J605" i="1"/>
  <c r="F614" i="1"/>
  <c r="G614" i="1"/>
  <c r="H614" i="1"/>
  <c r="I614" i="1"/>
  <c r="J614" i="1"/>
  <c r="K614" i="1"/>
  <c r="L614" i="1"/>
  <c r="G620" i="1"/>
  <c r="G622" i="1"/>
  <c r="G623" i="1"/>
  <c r="G624" i="1"/>
  <c r="G625" i="1"/>
  <c r="H629" i="1"/>
  <c r="H630" i="1"/>
  <c r="H631" i="1"/>
  <c r="H636" i="1"/>
  <c r="H637" i="1"/>
  <c r="H638" i="1"/>
  <c r="G641" i="1"/>
  <c r="J641" i="1" s="1"/>
  <c r="G643" i="1"/>
  <c r="G644" i="1"/>
  <c r="G645" i="1"/>
  <c r="G650" i="1"/>
  <c r="G651" i="1"/>
  <c r="G652" i="1"/>
  <c r="H652" i="1"/>
  <c r="G653" i="1"/>
  <c r="H653" i="1"/>
  <c r="G654" i="1"/>
  <c r="H654" i="1"/>
  <c r="H655" i="1"/>
  <c r="D7" i="13"/>
  <c r="C7" i="13" s="1"/>
  <c r="E103" i="2"/>
  <c r="D19" i="13"/>
  <c r="C19" i="13" s="1"/>
  <c r="E13" i="13"/>
  <c r="C13" i="13" s="1"/>
  <c r="F112" i="1"/>
  <c r="K605" i="1"/>
  <c r="G648" i="1" s="1"/>
  <c r="I169" i="1"/>
  <c r="I476" i="1"/>
  <c r="H625" i="1" s="1"/>
  <c r="J625" i="1" s="1"/>
  <c r="J140" i="1"/>
  <c r="F571" i="1"/>
  <c r="I552" i="1"/>
  <c r="F22" i="13"/>
  <c r="C22" i="13" s="1"/>
  <c r="H192" i="1"/>
  <c r="F552" i="1"/>
  <c r="J655" i="1"/>
  <c r="L570" i="1"/>
  <c r="L565" i="1"/>
  <c r="G545" i="1"/>
  <c r="J552" i="1" l="1"/>
  <c r="G552" i="1"/>
  <c r="K549" i="1"/>
  <c r="H545" i="1"/>
  <c r="K551" i="1"/>
  <c r="K545" i="1"/>
  <c r="L524" i="1"/>
  <c r="C19" i="10"/>
  <c r="C15" i="10"/>
  <c r="E110" i="2"/>
  <c r="L290" i="1"/>
  <c r="G338" i="1"/>
  <c r="G352" i="1" s="1"/>
  <c r="F338" i="1"/>
  <c r="F352" i="1" s="1"/>
  <c r="I369" i="1"/>
  <c r="H634" i="1" s="1"/>
  <c r="J634" i="1"/>
  <c r="J644" i="1"/>
  <c r="J476" i="1"/>
  <c r="H626" i="1" s="1"/>
  <c r="K598" i="1"/>
  <c r="G647" i="1" s="1"/>
  <c r="C70" i="2"/>
  <c r="C124" i="2"/>
  <c r="C11" i="10"/>
  <c r="L247" i="1"/>
  <c r="H660" i="1" s="1"/>
  <c r="H664" i="1" s="1"/>
  <c r="H667" i="1" s="1"/>
  <c r="C10" i="10"/>
  <c r="F257" i="1"/>
  <c r="F271" i="1" s="1"/>
  <c r="C109" i="2"/>
  <c r="L270" i="1"/>
  <c r="L256" i="1"/>
  <c r="D15" i="13"/>
  <c r="C15" i="13" s="1"/>
  <c r="H647" i="1"/>
  <c r="F662" i="1"/>
  <c r="I662" i="1" s="1"/>
  <c r="G649" i="1"/>
  <c r="C20" i="10"/>
  <c r="K257" i="1"/>
  <c r="K271" i="1" s="1"/>
  <c r="H257" i="1"/>
  <c r="H271" i="1" s="1"/>
  <c r="G257" i="1"/>
  <c r="G271" i="1" s="1"/>
  <c r="A13" i="12"/>
  <c r="D5" i="13"/>
  <c r="C5" i="13" s="1"/>
  <c r="D50" i="2"/>
  <c r="D51" i="2" s="1"/>
  <c r="D18" i="2"/>
  <c r="C78" i="2"/>
  <c r="J617" i="1"/>
  <c r="C63" i="2"/>
  <c r="C18" i="2"/>
  <c r="C81" i="2"/>
  <c r="C16" i="13"/>
  <c r="J639" i="1"/>
  <c r="E62" i="2"/>
  <c r="E63" i="2" s="1"/>
  <c r="E128" i="2"/>
  <c r="E115" i="2"/>
  <c r="E145" i="2" s="1"/>
  <c r="C13" i="10"/>
  <c r="C12" i="10"/>
  <c r="K550" i="1"/>
  <c r="L534" i="1"/>
  <c r="I460" i="1"/>
  <c r="I446" i="1"/>
  <c r="G642" i="1" s="1"/>
  <c r="C123" i="2"/>
  <c r="C114" i="2"/>
  <c r="C110" i="2"/>
  <c r="L211" i="1"/>
  <c r="L257" i="1" s="1"/>
  <c r="L271" i="1" s="1"/>
  <c r="C16" i="10"/>
  <c r="L362" i="1"/>
  <c r="H112" i="1"/>
  <c r="H193" i="1" s="1"/>
  <c r="G629" i="1" s="1"/>
  <c r="J629" i="1" s="1"/>
  <c r="D29" i="13"/>
  <c r="C29" i="13" s="1"/>
  <c r="K500" i="1"/>
  <c r="I452" i="1"/>
  <c r="D145" i="2"/>
  <c r="C121" i="2"/>
  <c r="C112" i="2"/>
  <c r="G661" i="1"/>
  <c r="C21" i="10"/>
  <c r="J257" i="1"/>
  <c r="J271" i="1" s="1"/>
  <c r="E8" i="13"/>
  <c r="C8" i="13" s="1"/>
  <c r="D12" i="13"/>
  <c r="C12" i="13" s="1"/>
  <c r="C26" i="10"/>
  <c r="K338" i="1"/>
  <c r="K352" i="1" s="1"/>
  <c r="H52" i="1"/>
  <c r="H619" i="1" s="1"/>
  <c r="D56" i="2"/>
  <c r="D63" i="2" s="1"/>
  <c r="C32" i="10"/>
  <c r="F661" i="1"/>
  <c r="G112" i="1"/>
  <c r="L544" i="1"/>
  <c r="H25" i="13"/>
  <c r="J649" i="1"/>
  <c r="C120" i="2"/>
  <c r="L309" i="1"/>
  <c r="L529" i="1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C50" i="2"/>
  <c r="F31" i="2"/>
  <c r="C31" i="2"/>
  <c r="E18" i="2"/>
  <c r="E144" i="2"/>
  <c r="F50" i="2"/>
  <c r="C24" i="10"/>
  <c r="G660" i="1"/>
  <c r="G31" i="13"/>
  <c r="G33" i="13" s="1"/>
  <c r="I338" i="1"/>
  <c r="I352" i="1" s="1"/>
  <c r="J650" i="1"/>
  <c r="L407" i="1"/>
  <c r="C140" i="2" s="1"/>
  <c r="C141" i="2" s="1"/>
  <c r="C144" i="2" s="1"/>
  <c r="L571" i="1"/>
  <c r="I192" i="1"/>
  <c r="E91" i="2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F31" i="13"/>
  <c r="J193" i="1"/>
  <c r="G646" i="1" s="1"/>
  <c r="F104" i="2"/>
  <c r="G169" i="1"/>
  <c r="C39" i="10" s="1"/>
  <c r="G140" i="1"/>
  <c r="F140" i="1"/>
  <c r="F193" i="1" s="1"/>
  <c r="G63" i="2"/>
  <c r="G104" i="2" s="1"/>
  <c r="J618" i="1"/>
  <c r="G42" i="2"/>
  <c r="G50" i="2" s="1"/>
  <c r="G51" i="2" s="1"/>
  <c r="J51" i="1"/>
  <c r="G16" i="2"/>
  <c r="G18" i="2" s="1"/>
  <c r="J19" i="1"/>
  <c r="G621" i="1" s="1"/>
  <c r="F33" i="13"/>
  <c r="F545" i="1"/>
  <c r="H434" i="1"/>
  <c r="J620" i="1"/>
  <c r="J619" i="1"/>
  <c r="D103" i="2"/>
  <c r="I140" i="1"/>
  <c r="I193" i="1" s="1"/>
  <c r="G630" i="1" s="1"/>
  <c r="J630" i="1" s="1"/>
  <c r="A22" i="12"/>
  <c r="H648" i="1"/>
  <c r="J648" i="1" s="1"/>
  <c r="J652" i="1"/>
  <c r="G571" i="1"/>
  <c r="I434" i="1"/>
  <c r="G434" i="1"/>
  <c r="I663" i="1"/>
  <c r="K552" i="1" l="1"/>
  <c r="E33" i="13"/>
  <c r="D35" i="13" s="1"/>
  <c r="D31" i="13"/>
  <c r="C31" i="13" s="1"/>
  <c r="L338" i="1"/>
  <c r="L352" i="1" s="1"/>
  <c r="J647" i="1"/>
  <c r="G627" i="1"/>
  <c r="F468" i="1"/>
  <c r="G632" i="1"/>
  <c r="F472" i="1"/>
  <c r="C27" i="10"/>
  <c r="C28" i="10" s="1"/>
  <c r="D16" i="10" s="1"/>
  <c r="G472" i="1"/>
  <c r="C128" i="2"/>
  <c r="C115" i="2"/>
  <c r="G635" i="1"/>
  <c r="H672" i="1"/>
  <c r="C6" i="10" s="1"/>
  <c r="G664" i="1"/>
  <c r="G667" i="1" s="1"/>
  <c r="E104" i="2"/>
  <c r="C104" i="2"/>
  <c r="D104" i="2"/>
  <c r="C36" i="10"/>
  <c r="C25" i="13"/>
  <c r="H33" i="13"/>
  <c r="F660" i="1"/>
  <c r="I461" i="1"/>
  <c r="H642" i="1" s="1"/>
  <c r="J642" i="1" s="1"/>
  <c r="F51" i="2"/>
  <c r="L408" i="1"/>
  <c r="L545" i="1"/>
  <c r="I661" i="1"/>
  <c r="C51" i="2"/>
  <c r="G631" i="1"/>
  <c r="J631" i="1" s="1"/>
  <c r="G193" i="1"/>
  <c r="G626" i="1"/>
  <c r="J626" i="1" s="1"/>
  <c r="J52" i="1"/>
  <c r="H621" i="1" s="1"/>
  <c r="J621" i="1" s="1"/>
  <c r="C38" i="10"/>
  <c r="D33" i="13" l="1"/>
  <c r="D36" i="13" s="1"/>
  <c r="G633" i="1"/>
  <c r="H472" i="1"/>
  <c r="F470" i="1"/>
  <c r="H627" i="1"/>
  <c r="J627" i="1" s="1"/>
  <c r="F474" i="1"/>
  <c r="H632" i="1"/>
  <c r="J632" i="1" s="1"/>
  <c r="C145" i="2"/>
  <c r="G628" i="1"/>
  <c r="G468" i="1"/>
  <c r="H635" i="1"/>
  <c r="J635" i="1" s="1"/>
  <c r="G474" i="1"/>
  <c r="G672" i="1"/>
  <c r="C5" i="10" s="1"/>
  <c r="D22" i="10"/>
  <c r="D20" i="10"/>
  <c r="D25" i="10"/>
  <c r="D21" i="10"/>
  <c r="D15" i="10"/>
  <c r="D11" i="10"/>
  <c r="D24" i="10"/>
  <c r="D27" i="10"/>
  <c r="D17" i="10"/>
  <c r="D23" i="10"/>
  <c r="D10" i="10"/>
  <c r="C30" i="10"/>
  <c r="D13" i="10"/>
  <c r="D18" i="10"/>
  <c r="D12" i="10"/>
  <c r="D26" i="10"/>
  <c r="D19" i="10"/>
  <c r="F664" i="1"/>
  <c r="I660" i="1"/>
  <c r="I664" i="1" s="1"/>
  <c r="I672" i="1" s="1"/>
  <c r="C7" i="10" s="1"/>
  <c r="G637" i="1"/>
  <c r="J637" i="1" s="1"/>
  <c r="H646" i="1"/>
  <c r="J646" i="1" s="1"/>
  <c r="C41" i="10"/>
  <c r="D38" i="10" s="1"/>
  <c r="H633" i="1" l="1"/>
  <c r="J633" i="1" s="1"/>
  <c r="H474" i="1"/>
  <c r="H476" i="1" s="1"/>
  <c r="H624" i="1" s="1"/>
  <c r="J624" i="1" s="1"/>
  <c r="F476" i="1"/>
  <c r="H622" i="1" s="1"/>
  <c r="J622" i="1" s="1"/>
  <c r="G470" i="1"/>
  <c r="G476" i="1" s="1"/>
  <c r="H623" i="1" s="1"/>
  <c r="H628" i="1"/>
  <c r="J628" i="1" s="1"/>
  <c r="D28" i="10"/>
  <c r="I667" i="1"/>
  <c r="F672" i="1"/>
  <c r="C4" i="10" s="1"/>
  <c r="F667" i="1"/>
  <c r="D37" i="10"/>
  <c r="D36" i="10"/>
  <c r="D35" i="10"/>
  <c r="D40" i="10"/>
  <c r="D39" i="10"/>
  <c r="J623" i="1" l="1"/>
  <c r="H656" i="1"/>
  <c r="D41" i="10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<sst xmlns="http://schemas.openxmlformats.org/spreadsheetml/2006/main" count="3954" uniqueCount="912">
  <si>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</si>
  <si>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</si>
  <si>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</si>
  <si>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</si>
  <si>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</si>
  <si>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</si>
  <si>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</si>
  <si>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</si>
  <si>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</si>
  <si>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</si>
  <si>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</si>
  <si>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</si>
  <si>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</si>
  <si>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</si>
  <si>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</si>
  <si>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</si>
  <si>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</si>
  <si>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</si>
  <si>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</si>
  <si>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</si>
  <si>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</si>
  <si>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</si>
  <si>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</si>
  <si>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</si>
  <si>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</si>
  <si>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</si>
  <si>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</si>
  <si>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</si>
  <si>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</si>
  <si>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</si>
  <si>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</si>
  <si>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</si>
  <si>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</si>
  <si>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</si>
  <si>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</si>
  <si>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</si>
  <si>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</si>
  <si>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</si>
  <si>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</si>
  <si>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</si>
  <si>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</si>
  <si>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</si>
  <si>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</si>
  <si>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</si>
  <si>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</si>
  <si>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</si>
  <si>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</si>
  <si>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</si>
  <si>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</si>
  <si>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</si>
  <si>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</si>
  <si>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</si>
  <si>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</si>
  <si>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</si>
  <si>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</si>
  <si>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</si>
  <si>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</si>
  <si>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</si>
  <si>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</si>
  <si>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</si>
  <si>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</si>
  <si>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</si>
  <si>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</si>
  <si>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</si>
  <si>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</si>
  <si>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</si>
  <si>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</si>
  <si>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</si>
  <si>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</si>
  <si>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</si>
  <si>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</si>
  <si>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</si>
  <si>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</si>
  <si>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</si>
  <si>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</si>
  <si>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</si>
  <si>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</si>
  <si>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</si>
  <si>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</si>
  <si>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</si>
  <si>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</si>
  <si>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</si>
  <si>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</si>
  <si>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</si>
  <si>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</si>
  <si>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</si>
  <si>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</si>
  <si>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</si>
  <si>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</si>
  <si>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</si>
  <si>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</si>
  <si>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</si>
  <si>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</si>
  <si>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</si>
  <si>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</si>
  <si>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</si>
  <si>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</si>
  <si>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</si>
  <si>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</si>
  <si>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</si>
  <si>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</si>
  <si>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</si>
  <si>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</si>
  <si>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</si>
  <si>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</si>
  <si>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</si>
  <si>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</si>
  <si>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</si>
  <si>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</si>
  <si>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</si>
  <si>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</si>
  <si>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</si>
  <si>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</si>
  <si>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</si>
  <si>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</si>
  <si>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</si>
  <si>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</si>
  <si>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</si>
  <si>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</si>
  <si>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</si>
  <si>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</si>
  <si>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</si>
  <si>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</si>
  <si>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</si>
  <si>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</si>
  <si>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</si>
  <si>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</si>
  <si>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</si>
  <si>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</si>
  <si>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</si>
  <si>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</si>
  <si>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</si>
  <si>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</si>
  <si>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</si>
  <si>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</si>
  <si>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</si>
  <si>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</si>
  <si>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</si>
  <si>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</si>
  <si>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</si>
  <si>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</si>
  <si>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</si>
  <si>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</si>
  <si>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</si>
  <si>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</si>
  <si>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</si>
  <si>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</si>
  <si>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</si>
  <si>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</si>
  <si>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</si>
  <si>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</si>
  <si>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</si>
  <si>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</si>
  <si>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</si>
  <si>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</si>
  <si>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</si>
  <si>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</si>
  <si>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</si>
  <si>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</si>
  <si>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</si>
  <si>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</si>
  <si>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</si>
  <si>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</si>
  <si>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</si>
  <si>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</si>
  <si>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</si>
  <si>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</si>
  <si>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</si>
  <si>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</si>
  <si>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</si>
  <si>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</si>
  <si>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</si>
  <si>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</si>
  <si>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</si>
  <si>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</si>
  <si>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</si>
  <si>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</si>
  <si>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</si>
  <si>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</si>
  <si>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</si>
  <si>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</si>
  <si>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</si>
  <si>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</si>
  <si>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</si>
  <si>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</si>
  <si>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</si>
  <si>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</si>
  <si>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</si>
  <si>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</si>
  <si>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</si>
  <si>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</si>
  <si>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</si>
  <si>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</si>
  <si>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</si>
  <si>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</si>
  <si>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</si>
  <si>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</si>
  <si>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</si>
  <si>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</si>
  <si>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</si>
  <si>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</si>
  <si>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</si>
  <si>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</si>
  <si>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</si>
  <si>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</si>
  <si>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</si>
  <si>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</si>
  <si>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</si>
  <si>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</si>
  <si>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</si>
  <si>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</si>
  <si>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</si>
  <si>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</si>
  <si>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</si>
  <si>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</si>
  <si>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</si>
  <si>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</si>
  <si>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</si>
  <si>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</si>
  <si>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</si>
  <si>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</si>
  <si>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</si>
  <si>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</si>
  <si>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</si>
  <si>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</si>
  <si>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</si>
  <si>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</si>
  <si>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</si>
  <si>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</si>
  <si>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</si>
  <si>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</si>
  <si>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</si>
  <si>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</si>
  <si>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</si>
  <si>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</si>
  <si>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</si>
  <si>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</si>
  <si>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</si>
  <si>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</si>
  <si>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</si>
  <si>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</si>
  <si>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</si>
  <si>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</si>
  <si>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</si>
  <si>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</si>
  <si>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</si>
  <si>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</si>
  <si>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</si>
  <si>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</si>
  <si>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</si>
  <si>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</si>
  <si>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</si>
  <si>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</si>
  <si>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</si>
  <si>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</si>
  <si>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</si>
  <si>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</si>
  <si>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</si>
  <si>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</si>
  <si>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</si>
  <si>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</si>
  <si>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</si>
  <si>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</si>
  <si>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</si>
  <si>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</si>
  <si>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</si>
  <si>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</si>
  <si>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</si>
  <si>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</si>
  <si>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</si>
  <si>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</si>
  <si>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</si>
  <si>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</si>
  <si>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</si>
  <si>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</si>
  <si>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</si>
  <si>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</si>
  <si>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</si>
  <si>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</si>
  <si>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</si>
  <si>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</si>
  <si>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</si>
  <si>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</si>
  <si>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</si>
  <si>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</si>
  <si>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</si>
  <si>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</si>
  <si>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</si>
  <si>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</si>
  <si>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</si>
  <si>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</si>
  <si>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</si>
  <si>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</si>
  <si>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</si>
  <si>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</si>
  <si>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</si>
  <si>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</si>
  <si>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</si>
  <si>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</si>
  <si>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</si>
  <si>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</si>
  <si>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</si>
  <si>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</si>
  <si>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</si>
  <si>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</si>
  <si>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</si>
  <si>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</si>
  <si>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</si>
  <si>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</si>
  <si>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</si>
  <si>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</si>
  <si>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</si>
  <si>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</si>
  <si>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</si>
  <si>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</si>
  <si>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</si>
  <si>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</si>
  <si>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</si>
  <si>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</si>
  <si>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</si>
  <si>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</si>
  <si>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</si>
  <si>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</si>
  <si>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</si>
  <si>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</si>
  <si>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</si>
  <si>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</si>
  <si>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</si>
  <si>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</si>
  <si>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</si>
  <si>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</si>
  <si>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</si>
  <si>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</si>
  <si>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</si>
  <si>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</si>
  <si>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</si>
  <si>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</si>
  <si>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</si>
  <si>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</si>
  <si>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</si>
  <si>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</si>
  <si>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</si>
  <si>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</si>
  <si>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</si>
  <si>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</si>
  <si>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</si>
  <si>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</si>
  <si>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</si>
  <si>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</si>
  <si>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</si>
  <si>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</si>
  <si>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</si>
  <si>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</si>
  <si>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</si>
  <si>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</si>
  <si>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</si>
  <si>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</si>
  <si>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</si>
  <si>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</si>
  <si>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</si>
  <si>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</si>
  <si>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</si>
  <si>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</si>
  <si>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</si>
  <si>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</si>
  <si>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</si>
  <si>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</si>
  <si>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</si>
  <si>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</si>
  <si>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</si>
  <si>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</si>
  <si>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</si>
  <si>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</si>
  <si>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</si>
  <si>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</si>
  <si>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</si>
  <si>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</si>
  <si>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</si>
  <si>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</si>
  <si>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</si>
  <si>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</si>
  <si>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</si>
  <si>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</si>
  <si>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</si>
  <si>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</si>
  <si>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</si>
  <si>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</si>
  <si>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</si>
  <si>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</si>
  <si>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</si>
  <si>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</si>
  <si>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</si>
  <si>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</si>
  <si>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</si>
  <si>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</si>
  <si>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</si>
  <si>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</si>
  <si>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</si>
  <si>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</si>
  <si>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</si>
  <si>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</si>
  <si>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</si>
  <si>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</si>
  <si>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</si>
  <si>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</si>
  <si>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</si>
  <si>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</si>
  <si>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</si>
  <si>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</si>
  <si>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</si>
  <si>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</si>
  <si>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</si>
  <si>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</si>
  <si>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</si>
  <si>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</si>
  <si>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</si>
  <si>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</si>
  <si>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</si>
  <si>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</si>
  <si>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</si>
  <si>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</si>
  <si>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</si>
  <si>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</si>
  <si>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</si>
  <si>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</si>
  <si>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</si>
  <si>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</si>
  <si>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</si>
  <si>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</si>
  <si>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</si>
  <si>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</si>
  <si>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</si>
  <si>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</si>
  <si>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</si>
  <si>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</si>
  <si>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</si>
  <si>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</si>
  <si>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</si>
  <si>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</si>
  <si>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</si>
  <si>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</si>
  <si>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</si>
  <si>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</si>
  <si>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</si>
  <si>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</si>
  <si>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</si>
  <si>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</si>
  <si>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</si>
  <si>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</si>
  <si>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</si>
  <si>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</si>
  <si>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</si>
  <si>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</si>
  <si>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</si>
  <si>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</si>
  <si>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</si>
  <si>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</si>
  <si>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</si>
  <si>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</si>
  <si>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</si>
  <si>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</si>
  <si>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</si>
  <si>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</si>
  <si>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</si>
  <si>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</si>
  <si>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</si>
  <si>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</si>
  <si>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</si>
  <si>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</si>
  <si>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</si>
  <si>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</si>
  <si>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</si>
  <si>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</si>
  <si>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</si>
  <si>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</si>
  <si>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</si>
  <si>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</si>
  <si>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</si>
  <si>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</si>
  <si>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</si>
  <si>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</si>
  <si>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</si>
  <si>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</si>
  <si>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</si>
  <si>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</si>
  <si>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</si>
  <si>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</si>
  <si>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</si>
  <si>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</si>
  <si>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</si>
  <si>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</si>
  <si>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</si>
  <si>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</si>
  <si>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</si>
  <si>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</si>
  <si>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</si>
  <si>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</si>
  <si>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</si>
  <si>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</si>
  <si>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</si>
  <si>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</si>
  <si>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</si>
  <si>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</si>
  <si>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</si>
  <si>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</si>
  <si>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</si>
  <si>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</si>
  <si>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</si>
  <si>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</si>
  <si>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</si>
  <si>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</si>
  <si>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</si>
  <si>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</si>
  <si>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</si>
  <si>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</si>
  <si>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</si>
  <si>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</si>
  <si>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</si>
  <si>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</si>
  <si>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</si>
  <si>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</si>
  <si>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</si>
  <si>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</si>
  <si>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</si>
  <si>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</si>
  <si>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</si>
  <si>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</si>
  <si>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</si>
  <si>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</si>
  <si>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</si>
  <si>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</si>
  <si>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</si>
  <si>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</si>
  <si>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</si>
  <si>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</si>
  <si>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</si>
  <si>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</si>
  <si>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</si>
  <si>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</si>
  <si>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</si>
  <si>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</si>
  <si>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</si>
  <si>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</si>
  <si>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</si>
  <si>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</si>
  <si>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</si>
  <si>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</si>
  <si>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</si>
  <si>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</si>
  <si>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</si>
  <si>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</si>
  <si>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</si>
  <si>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</si>
  <si>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</si>
  <si>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</si>
  <si>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</si>
  <si>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</si>
  <si>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</si>
  <si>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</si>
  <si>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</si>
  <si>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</si>
  <si>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</si>
  <si>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</si>
  <si>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</si>
  <si>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</si>
  <si>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</si>
  <si>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</si>
  <si>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</si>
  <si>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</si>
  <si>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</si>
  <si>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</si>
  <si>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</si>
  <si>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</si>
  <si>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</si>
  <si>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</si>
  <si>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</si>
  <si>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</si>
  <si>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</si>
  <si>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</si>
  <si>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</si>
  <si>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</si>
  <si>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</si>
  <si>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</si>
  <si>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</si>
  <si>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</si>
  <si>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</si>
  <si>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</si>
  <si>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</si>
  <si>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</si>
  <si>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</si>
  <si>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</si>
  <si>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</si>
  <si>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</si>
  <si>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</si>
  <si>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</si>
  <si>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</si>
  <si>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</si>
  <si>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</si>
  <si>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</si>
  <si>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</si>
  <si>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</si>
  <si>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</si>
  <si>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</si>
  <si>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</si>
  <si>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</si>
  <si>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</si>
  <si>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</si>
  <si>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</si>
  <si>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</si>
  <si>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</si>
  <si>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</si>
  <si>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</si>
  <si>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</si>
  <si>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</si>
  <si>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</si>
  <si>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</si>
  <si>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</si>
  <si>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</si>
  <si>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</si>
  <si>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</si>
  <si>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</si>
  <si>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</si>
  <si>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</si>
  <si>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</si>
  <si>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</si>
  <si>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</si>
  <si>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</si>
  <si>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</si>
  <si>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</si>
  <si>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</si>
  <si>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</si>
  <si>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</si>
  <si>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</si>
  <si>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</si>
  <si>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</si>
  <si>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</si>
  <si>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</si>
  <si>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</si>
  <si>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</si>
  <si>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</si>
  <si>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</si>
  <si>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</si>
  <si>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</si>
  <si>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</si>
  <si>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</si>
  <si>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</si>
  <si>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</si>
  <si>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</si>
  <si>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</si>
  <si>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</si>
  <si>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</si>
  <si>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</si>
  <si>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</si>
  <si>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</si>
  <si>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</si>
  <si>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</si>
  <si>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</si>
  <si>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</si>
  <si>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</si>
  <si>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</si>
  <si>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</si>
  <si>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</si>
  <si>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</si>
  <si>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</si>
  <si>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</si>
  <si>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</si>
  <si>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</si>
  <si>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</si>
  <si>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</si>
  <si>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</si>
  <si>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</si>
  <si>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</si>
  <si>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</si>
  <si>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</si>
  <si>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</si>
  <si>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</si>
  <si>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</si>
  <si>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</si>
  <si>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</si>
  <si>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</si>
  <si>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</si>
  <si>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</si>
  <si>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</si>
  <si>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</si>
  <si>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</si>
  <si>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</si>
  <si>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</si>
  <si>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</si>
  <si>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</si>
  <si>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</si>
  <si>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</si>
  <si>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</si>
  <si>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</si>
  <si>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</si>
  <si>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</si>
  <si>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</si>
  <si>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</si>
  <si>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</si>
  <si>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</si>
  <si>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</si>
  <si>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</si>
  <si>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</si>
  <si>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</si>
  <si>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</si>
  <si>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</si>
  <si>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</si>
  <si>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</si>
  <si>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</si>
  <si>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</si>
  <si>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</si>
  <si>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</si>
  <si>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</si>
  <si>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</si>
  <si>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</si>
  <si>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</si>
  <si>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</si>
  <si>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</si>
  <si>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</si>
  <si>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</si>
  <si>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</si>
  <si>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</si>
  <si>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</si>
  <si>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</si>
  <si>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</si>
  <si>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</si>
  <si>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</si>
  <si>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</si>
  <si>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</si>
  <si>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</si>
  <si>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</si>
  <si>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</si>
  <si>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</si>
  <si>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</si>
  <si>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</si>
  <si>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</si>
  <si>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</si>
  <si>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</si>
  <si>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</si>
  <si>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</si>
  <si>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</si>
  <si>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</si>
  <si>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</si>
  <si>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</si>
  <si>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</si>
  <si>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</si>
  <si>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</si>
  <si>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</si>
  <si>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</si>
  <si>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</si>
  <si>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</si>
  <si>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</si>
  <si>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</si>
  <si>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</si>
  <si>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</si>
  <si>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</si>
  <si>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</si>
  <si>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</si>
  <si>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</si>
  <si>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</si>
  <si>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</si>
  <si>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</si>
  <si>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</si>
  <si>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</si>
  <si>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</si>
  <si>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</si>
  <si>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</si>
  <si>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</si>
  <si>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</si>
  <si>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</si>
  <si>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</si>
  <si>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</si>
  <si>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</si>
  <si>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</si>
  <si>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</si>
  <si>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</si>
  <si>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</si>
  <si>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</si>
  <si>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</si>
  <si>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</si>
  <si>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</si>
  <si>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</si>
  <si>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</si>
  <si>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</si>
  <si>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</si>
  <si>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</si>
  <si>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</si>
  <si>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</si>
  <si>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</si>
  <si>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</si>
  <si>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</si>
  <si>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</si>
  <si>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</si>
  <si>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</si>
  <si>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</si>
  <si>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</si>
  <si>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</si>
  <si>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</si>
  <si>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</si>
  <si>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</si>
  <si>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</si>
  <si>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</si>
  <si>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</si>
  <si>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</si>
  <si>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</si>
  <si>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</si>
  <si>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</si>
  <si>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</si>
  <si>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</si>
  <si>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</si>
  <si>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</si>
  <si>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</si>
  <si>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</si>
  <si>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</si>
  <si>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</si>
  <si>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</si>
  <si>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</si>
  <si>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</si>
  <si>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</si>
  <si>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</si>
  <si>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</si>
  <si>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</si>
  <si>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</si>
  <si>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</si>
  <si>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</si>
  <si>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</si>
  <si>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</si>
  <si>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</si>
  <si>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</si>
  <si>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</si>
  <si>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</si>
  <si>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</si>
  <si>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</si>
  <si>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</si>
  <si>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</si>
  <si>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</si>
  <si>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</si>
  <si>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</si>
  <si>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</si>
  <si>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</si>
  <si>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</si>
  <si>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</si>
  <si>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</si>
  <si>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</si>
  <si>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</si>
  <si>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</si>
  <si>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</si>
  <si>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</si>
  <si>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</si>
  <si>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</si>
  <si>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</si>
  <si>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</si>
  <si>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</si>
  <si>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</si>
  <si>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</si>
  <si>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</si>
  <si>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</si>
  <si>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</si>
  <si>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</si>
  <si>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</si>
  <si>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</si>
  <si>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</si>
  <si>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</si>
  <si>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</si>
  <si>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</si>
  <si>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</si>
  <si>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</si>
  <si>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</si>
  <si>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</si>
  <si>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</si>
  <si>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</si>
  <si>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</si>
  <si>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</si>
  <si>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</si>
  <si>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</si>
  <si>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</si>
  <si>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</si>
  <si>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</si>
  <si>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</si>
  <si>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</si>
  <si>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</si>
  <si>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</si>
  <si>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</si>
  <si>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</si>
  <si>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</si>
  <si>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</si>
  <si>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</si>
  <si>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</si>
  <si>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</si>
  <si>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</si>
  <si>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</si>
  <si>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>DOE 25  2013-2014</t>
  </si>
  <si>
    <t>TOTAL FUND EQUITY, JULY 1, 2013</t>
  </si>
  <si>
    <t xml:space="preserve">Total Fund Equity June 30, 2014**** </t>
  </si>
  <si>
    <t>For the Fiscal Year Ending on June 30, 2014</t>
  </si>
  <si>
    <t>For Fiscal Year Ending June 30, 2014</t>
  </si>
  <si>
    <t>Indirect Cost Rate to be determine at later date for FY2015-2016</t>
  </si>
  <si>
    <t>2013-2014 Current Expenditure Per Pupil(in dollars)</t>
  </si>
  <si>
    <t>2013-14-Current Expenditure Per Pupil</t>
  </si>
  <si>
    <t>2013-14-Total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</si>
  <si>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</si>
  <si>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</si>
  <si>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</si>
  <si>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</si>
  <si>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</si>
  <si>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</si>
  <si>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</si>
  <si>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</si>
  <si>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</si>
  <si>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</si>
  <si>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</si>
  <si>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</si>
  <si>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ANDOVER SCHOOL 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</si>
</sst>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7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40" fontId="2" fillId="0" borderId="0" xfId="0" quotePrefix="1" applyNumberFormat="1" applyFont="1" applyProtection="1">
      <protection locked="0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0" fontId="2" fillId="0" borderId="0" xfId="0" applyNumberFormat="1" applyFont="1" applyProtection="1">
      <protection locked="0"/>
    </xf>
    <xf numFmtId="40" fontId="2" fillId="0" borderId="0" xfId="0" applyNumberFormat="1" applyFont="1" applyProtection="1">
      <protection locked="0"/>
    </xf>
    <xf numFmtId="40" fontId="2" fillId="0" borderId="0" xfId="0" applyNumberFormat="1" applyFont="1" applyProtection="1">
      <protection locked="0"/>
    </xf>
    <xf numFmtId="40" fontId="2" fillId="0" borderId="0" xfId="0" applyNumberFormat="1" applyFont="1" applyProtection="1">
      <protection locked="0"/>
    </xf>
    <xf numFmtId="40" fontId="2" fillId="0" borderId="0" xfId="0" applyNumberFormat="1" applyFont="1" applyProtection="1">
      <protection locked="0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>
    <tabColor indexed="56"/>
  </sheetPr>
  <dimension ref="A1:AQ676"/>
  <sheetViews>
    <sheetView tabSelected="1" zoomScale="90" zoomScaleNormal="90" workbookViewId="0">
      <pane xSplit="5" ySplit="3" topLeftCell="F634" activePane="bottomRight" state="frozen"/>
      <selection pane="topRight" activeCell="F1" sqref="F1"/>
      <selection pane="bottomLeft" activeCell="A4" sqref="A4"/>
      <selection pane="bottomRight" activeCell="F579" sqref="F579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890</v>
      </c>
      <c r="I1" s="13"/>
      <c r="J1" s="13"/>
      <c r="K1" s="13"/>
      <c r="L1" s="13"/>
    </row>
    <row r="2" spans="1:14" s="3" customFormat="1" ht="12" customHeight="1" x14ac:dyDescent="0.2">
      <c r="A2" s="176" t="s">
        <v>911</v>
      </c>
      <c r="B2" s="21">
        <v>19</v>
      </c>
      <c r="C2" s="21">
        <v>19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f>150814+23962</f>
        <v>174776</v>
      </c>
      <c r="G9" s="18">
        <v>5344</v>
      </c>
      <c r="H9" s="18"/>
      <c r="I9" s="18"/>
      <c r="J9" s="67">
        <f>SUM(I439)</f>
        <v>0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>
        <v>432721</v>
      </c>
      <c r="G10" s="18"/>
      <c r="H10" s="18"/>
      <c r="I10" s="18"/>
      <c r="J10" s="67">
        <f>SUM(I440)</f>
        <v>0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f>41243-14823-6186</f>
        <v>20234</v>
      </c>
      <c r="G12" s="18"/>
      <c r="H12" s="18">
        <v>11169</v>
      </c>
      <c r="I12" s="18"/>
      <c r="J12" s="67">
        <f>SUM(I441)</f>
        <v>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/>
      <c r="G13" s="18">
        <v>27312</v>
      </c>
      <c r="H13" s="18">
        <v>13378</v>
      </c>
      <c r="I13" s="18"/>
      <c r="J13" s="67">
        <f>SUM(I442)</f>
        <v>104437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f>353-216+24-1</f>
        <v>160</v>
      </c>
      <c r="G14" s="18"/>
      <c r="H14" s="18"/>
      <c r="I14" s="18"/>
      <c r="J14" s="67">
        <f>SUM(I443)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>
        <v>2675</v>
      </c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7">
        <f>SUM(I444)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627891</v>
      </c>
      <c r="G19" s="41">
        <f>SUM(G9:G18)</f>
        <v>35331</v>
      </c>
      <c r="H19" s="41">
        <f>SUM(H9:H18)</f>
        <v>24547</v>
      </c>
      <c r="I19" s="41">
        <f>SUM(I9:I18)</f>
        <v>0</v>
      </c>
      <c r="J19" s="41">
        <f>SUM(J9:J18)</f>
        <v>104437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/>
      <c r="G22" s="18">
        <f>41634-14823-6186</f>
        <v>20625</v>
      </c>
      <c r="H22" s="18">
        <v>10778</v>
      </c>
      <c r="I22" s="18"/>
      <c r="J22" s="67">
        <f>SUM(I448)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/>
      <c r="I23" s="18"/>
      <c r="J23" s="67">
        <f>SUM(I449)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213</v>
      </c>
      <c r="G24" s="18"/>
      <c r="H24" s="18"/>
      <c r="I24" s="18"/>
      <c r="J24" s="67">
        <f>SUM(I450)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>
        <f>209084+4312</f>
        <v>213396</v>
      </c>
      <c r="G28" s="18">
        <v>5845</v>
      </c>
      <c r="H28" s="18">
        <v>2600</v>
      </c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/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/>
      <c r="H30" s="18">
        <v>11169</v>
      </c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213609</v>
      </c>
      <c r="G32" s="41">
        <f>SUM(G22:G31)</f>
        <v>26470</v>
      </c>
      <c r="H32" s="41">
        <f>SUM(H22:H31)</f>
        <v>24547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>
        <v>2675</v>
      </c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>
        <v>50000</v>
      </c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1" t="s">
        <v>899</v>
      </c>
      <c r="B46" s="6">
        <v>1</v>
      </c>
      <c r="C46" s="6">
        <v>32</v>
      </c>
      <c r="D46" s="2"/>
      <c r="E46" s="6"/>
      <c r="F46" s="18"/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72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/>
      <c r="G48" s="18">
        <v>0</v>
      </c>
      <c r="H48" s="18"/>
      <c r="I48" s="18"/>
      <c r="J48" s="13">
        <f>SUM(I459)</f>
        <v>104437</v>
      </c>
      <c r="K48" s="24" t="s">
        <v>289</v>
      </c>
      <c r="L48" s="24" t="s">
        <v>289</v>
      </c>
      <c r="M48" s="8"/>
      <c r="N48" s="272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>
        <f>23962-6186</f>
        <v>17776</v>
      </c>
      <c r="G49" s="18">
        <v>6186</v>
      </c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856</v>
      </c>
      <c r="B50" s="2" t="s">
        <v>290</v>
      </c>
      <c r="C50" s="71">
        <v>35</v>
      </c>
      <c r="D50" s="2" t="s">
        <v>657</v>
      </c>
      <c r="E50" s="6">
        <v>770</v>
      </c>
      <c r="F50" s="18">
        <f>396506-50000</f>
        <v>346506</v>
      </c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72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414282</v>
      </c>
      <c r="G51" s="41">
        <f>SUM(G35:G50)</f>
        <v>8861</v>
      </c>
      <c r="H51" s="41">
        <f>SUM(H35:H50)</f>
        <v>0</v>
      </c>
      <c r="I51" s="41">
        <f>SUM(I35:I50)</f>
        <v>0</v>
      </c>
      <c r="J51" s="41">
        <f>SUM(J35:J50)</f>
        <v>104437</v>
      </c>
      <c r="K51" s="45" t="s">
        <v>289</v>
      </c>
      <c r="L51" s="45" t="s">
        <v>289</v>
      </c>
      <c r="N51" s="270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627891</v>
      </c>
      <c r="G52" s="41">
        <f>G51+G32</f>
        <v>35331</v>
      </c>
      <c r="H52" s="41">
        <f>H51+H32</f>
        <v>24547</v>
      </c>
      <c r="I52" s="41">
        <f>I51+I32</f>
        <v>0</v>
      </c>
      <c r="J52" s="41">
        <f>J51+J32</f>
        <v>104437</v>
      </c>
      <c r="K52" s="45" t="s">
        <v>289</v>
      </c>
      <c r="L52" s="45" t="s">
        <v>289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72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72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v>2682730</v>
      </c>
      <c r="G57" s="18"/>
      <c r="H57" s="18"/>
      <c r="I57" s="18"/>
      <c r="J57" s="18"/>
      <c r="K57" s="24" t="s">
        <v>289</v>
      </c>
      <c r="L57" s="24" t="s">
        <v>289</v>
      </c>
      <c r="M57" s="8"/>
      <c r="N57" s="272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/>
      <c r="G58" s="18"/>
      <c r="H58" s="24" t="s">
        <v>289</v>
      </c>
      <c r="I58" s="18"/>
      <c r="J58" s="24" t="s">
        <v>289</v>
      </c>
      <c r="K58" s="24" t="s">
        <v>289</v>
      </c>
      <c r="L58" s="24" t="s">
        <v>289</v>
      </c>
      <c r="M58" s="8"/>
      <c r="N58" s="272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/>
      <c r="G59" s="18"/>
      <c r="H59" s="18"/>
      <c r="I59" s="18"/>
      <c r="J59" s="18"/>
      <c r="K59" s="24" t="s">
        <v>289</v>
      </c>
      <c r="L59" s="24" t="s">
        <v>289</v>
      </c>
      <c r="M59" s="31"/>
      <c r="N59" s="273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2682730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3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/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72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3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/>
      <c r="G66" s="24" t="s">
        <v>289</v>
      </c>
      <c r="H66" s="18"/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/>
      <c r="G70" s="24" t="s">
        <v>289</v>
      </c>
      <c r="H70" s="18"/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/>
      <c r="G74" s="24" t="s">
        <v>289</v>
      </c>
      <c r="H74" s="18"/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72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/>
      <c r="G78" s="24" t="s">
        <v>289</v>
      </c>
      <c r="H78" s="18"/>
      <c r="I78" s="24" t="s">
        <v>289</v>
      </c>
      <c r="J78" s="24" t="s">
        <v>289</v>
      </c>
      <c r="K78" s="24" t="s">
        <v>289</v>
      </c>
      <c r="L78" s="24" t="s">
        <v>289</v>
      </c>
      <c r="N78" s="270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0</v>
      </c>
      <c r="G79" s="45" t="s">
        <v>289</v>
      </c>
      <c r="H79" s="41">
        <f>SUM(H63:H78)</f>
        <v>0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72"/>
    </row>
    <row r="81" spans="1:14" s="3" customFormat="1" ht="12" customHeight="1" x14ac:dyDescent="0.2">
      <c r="A81" s="170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72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/>
      <c r="G84" s="24" t="s">
        <v>289</v>
      </c>
      <c r="H84" s="18"/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/>
      <c r="G88" s="24" t="s">
        <v>289</v>
      </c>
      <c r="H88" s="18"/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/>
      <c r="G93" s="24" t="s">
        <v>289</v>
      </c>
      <c r="H93" s="18"/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72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0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72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>
        <f>191+137</f>
        <v>328</v>
      </c>
      <c r="G96" s="18">
        <v>8</v>
      </c>
      <c r="H96" s="18"/>
      <c r="I96" s="18"/>
      <c r="J96" s="18">
        <v>11</v>
      </c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>
        <v>45576</v>
      </c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/>
      <c r="G98" s="24" t="s">
        <v>289</v>
      </c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/>
      <c r="G99" s="18"/>
      <c r="H99" s="18"/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>
        <v>155</v>
      </c>
      <c r="G101" s="18"/>
      <c r="H101" s="18"/>
      <c r="I101" s="18"/>
      <c r="J101" s="24" t="s">
        <v>289</v>
      </c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/>
      <c r="G102" s="18"/>
      <c r="H102" s="18"/>
      <c r="I102" s="18"/>
      <c r="J102" s="18"/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/>
      <c r="G103" s="18"/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/>
      <c r="G104" s="24" t="s">
        <v>289</v>
      </c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/>
      <c r="G106" s="18"/>
      <c r="H106" s="18"/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/>
      <c r="G109" s="18"/>
      <c r="H109" s="18"/>
      <c r="I109" s="18"/>
      <c r="J109" s="24" t="s">
        <v>289</v>
      </c>
      <c r="K109" s="24" t="s">
        <v>289</v>
      </c>
      <c r="L109" s="24" t="s">
        <v>289</v>
      </c>
      <c r="M109" s="8"/>
      <c r="N109" s="272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>
        <f>133-2</f>
        <v>131</v>
      </c>
      <c r="G110" s="18"/>
      <c r="H110" s="18">
        <v>2519</v>
      </c>
      <c r="I110" s="18"/>
      <c r="J110" s="18"/>
      <c r="K110" s="24" t="s">
        <v>289</v>
      </c>
      <c r="L110" s="24" t="s">
        <v>289</v>
      </c>
      <c r="M110" s="8"/>
      <c r="N110" s="272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614</v>
      </c>
      <c r="G111" s="41">
        <f>SUM(G96:G110)</f>
        <v>45584</v>
      </c>
      <c r="H111" s="41">
        <f>SUM(H96:H110)</f>
        <v>2519</v>
      </c>
      <c r="I111" s="41">
        <f>SUM(I96:I110)</f>
        <v>0</v>
      </c>
      <c r="J111" s="41">
        <f>SUM(J96:J110)</f>
        <v>11</v>
      </c>
      <c r="K111" s="45" t="s">
        <v>289</v>
      </c>
      <c r="L111" s="45" t="s">
        <v>289</v>
      </c>
      <c r="N111" s="270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2683344</v>
      </c>
      <c r="G112" s="41">
        <f>G60+G111</f>
        <v>45584</v>
      </c>
      <c r="H112" s="41">
        <f>H60+H79+H94+H111</f>
        <v>2519</v>
      </c>
      <c r="I112" s="41">
        <f>I60+I111</f>
        <v>0</v>
      </c>
      <c r="J112" s="41">
        <f>J60+J111</f>
        <v>11</v>
      </c>
      <c r="K112" s="45" t="s">
        <v>289</v>
      </c>
      <c r="L112" s="45" t="s">
        <v>289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>
        <v>856642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v>599048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72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/>
      <c r="G120" s="18"/>
      <c r="H120" s="18"/>
      <c r="I120" s="18"/>
      <c r="J120" s="18"/>
      <c r="K120" s="24" t="s">
        <v>289</v>
      </c>
      <c r="L120" s="24" t="s">
        <v>289</v>
      </c>
      <c r="M120" s="8"/>
      <c r="N120" s="272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1455690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72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/>
      <c r="G123" s="24" t="s">
        <v>289</v>
      </c>
      <c r="H123" s="24" t="s">
        <v>289</v>
      </c>
      <c r="I123" s="18"/>
      <c r="J123" s="24" t="s">
        <v>289</v>
      </c>
      <c r="K123" s="24" t="s">
        <v>289</v>
      </c>
      <c r="L123" s="24" t="s">
        <v>289</v>
      </c>
      <c r="M123" s="8"/>
      <c r="N123" s="272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>
        <v>4135</v>
      </c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/>
      <c r="G131" s="24" t="s">
        <v>289</v>
      </c>
      <c r="H131" s="18"/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>
        <v>1303</v>
      </c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/>
      <c r="G133" s="24" t="s">
        <v>289</v>
      </c>
      <c r="H133" s="18"/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72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/>
      <c r="G135" s="18"/>
      <c r="H135" s="18"/>
      <c r="I135" s="18"/>
      <c r="J135" s="18"/>
      <c r="K135" s="24" t="s">
        <v>289</v>
      </c>
      <c r="L135" s="24" t="s">
        <v>289</v>
      </c>
      <c r="M135" s="8"/>
      <c r="N135" s="272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4135</v>
      </c>
      <c r="G136" s="41">
        <f>SUM(G123:G135)</f>
        <v>1303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72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/>
      <c r="G137" s="18"/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/>
      <c r="G138" s="24" t="s">
        <v>289</v>
      </c>
      <c r="H138" s="18"/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72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1459825</v>
      </c>
      <c r="G140" s="41">
        <f>G121+SUM(G136:G137)</f>
        <v>1303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4" t="s">
        <v>772</v>
      </c>
      <c r="I143" s="16" t="s">
        <v>284</v>
      </c>
      <c r="J143" s="16" t="s">
        <v>285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/>
      <c r="G146" s="18"/>
      <c r="H146" s="18"/>
      <c r="I146" s="18"/>
      <c r="J146" s="24" t="s">
        <v>289</v>
      </c>
      <c r="K146" s="24" t="s">
        <v>289</v>
      </c>
      <c r="L146" s="24" t="s">
        <v>289</v>
      </c>
      <c r="M146" s="8"/>
      <c r="N146" s="272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72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/>
      <c r="G152" s="24" t="s">
        <v>289</v>
      </c>
      <c r="H152" s="18"/>
      <c r="I152" s="18"/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>
        <v>30227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>
        <v>6291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/>
      <c r="G157" s="24" t="s">
        <v>289</v>
      </c>
      <c r="H157" s="18"/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>
        <v>33956</v>
      </c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/>
      <c r="G159" s="24" t="s">
        <v>289</v>
      </c>
      <c r="H159" s="18">
        <v>48272</v>
      </c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>
        <v>27178</v>
      </c>
      <c r="G160" s="24" t="s">
        <v>289</v>
      </c>
      <c r="H160" s="18"/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/>
      <c r="G161" s="18">
        <v>1857</v>
      </c>
      <c r="H161" s="18"/>
      <c r="I161" s="18"/>
      <c r="J161" s="24" t="s">
        <v>289</v>
      </c>
      <c r="K161" s="24" t="s">
        <v>289</v>
      </c>
      <c r="L161" s="24" t="s">
        <v>289</v>
      </c>
      <c r="M161" s="8"/>
      <c r="N161" s="272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27178</v>
      </c>
      <c r="G162" s="41">
        <f>SUM(G150:G161)</f>
        <v>35813</v>
      </c>
      <c r="H162" s="41">
        <f>SUM(H150:H161)</f>
        <v>84790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72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/>
      <c r="G163" s="18"/>
      <c r="H163" s="18"/>
      <c r="I163" s="18"/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/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/>
      <c r="G168" s="18"/>
      <c r="H168" s="18"/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72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27178</v>
      </c>
      <c r="G169" s="41">
        <f>G147+G162+SUM(G163:G168)</f>
        <v>35813</v>
      </c>
      <c r="H169" s="41">
        <f>H147+H162+SUM(H163:H168)</f>
        <v>84790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4" t="s">
        <v>772</v>
      </c>
      <c r="I172" s="16" t="s">
        <v>284</v>
      </c>
      <c r="J172" s="16" t="s">
        <v>285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/>
      <c r="G176" s="24" t="s">
        <v>289</v>
      </c>
      <c r="H176" s="24" t="s">
        <v>289</v>
      </c>
      <c r="I176" s="18"/>
      <c r="J176" s="24" t="s">
        <v>289</v>
      </c>
      <c r="K176" s="24" t="s">
        <v>289</v>
      </c>
      <c r="L176" s="24" t="s">
        <v>289</v>
      </c>
      <c r="M176" s="8"/>
      <c r="N176" s="272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0</v>
      </c>
      <c r="G177" s="41" t="s">
        <v>289</v>
      </c>
      <c r="H177" s="41" t="s">
        <v>289</v>
      </c>
      <c r="I177" s="41">
        <f>SUM(I173:I176)</f>
        <v>0</v>
      </c>
      <c r="J177" s="45" t="s">
        <v>289</v>
      </c>
      <c r="K177" s="45" t="s">
        <v>289</v>
      </c>
      <c r="L177" s="45" t="s">
        <v>289</v>
      </c>
      <c r="M177" s="8"/>
      <c r="N177" s="272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>
        <f>35420+14823</f>
        <v>50243</v>
      </c>
      <c r="H179" s="18"/>
      <c r="I179" s="18"/>
      <c r="J179" s="18"/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/>
      <c r="G180" s="24" t="s">
        <v>289</v>
      </c>
      <c r="H180" s="18"/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/>
      <c r="G181" s="18"/>
      <c r="H181" s="24" t="s">
        <v>289</v>
      </c>
      <c r="I181" s="18"/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/>
      <c r="G182" s="18"/>
      <c r="H182" s="18"/>
      <c r="I182" s="24" t="s">
        <v>289</v>
      </c>
      <c r="J182" s="18"/>
      <c r="K182" s="24" t="s">
        <v>289</v>
      </c>
      <c r="L182" s="24" t="s">
        <v>289</v>
      </c>
      <c r="M182" s="8"/>
      <c r="N182" s="272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0</v>
      </c>
      <c r="G183" s="41">
        <f>SUM(G179:G182)</f>
        <v>50243</v>
      </c>
      <c r="H183" s="41">
        <f>SUM(H179:H182)</f>
        <v>0</v>
      </c>
      <c r="I183" s="41">
        <f>SUM(I179:I182)</f>
        <v>0</v>
      </c>
      <c r="J183" s="41">
        <f>SUM(J179:J182)</f>
        <v>0</v>
      </c>
      <c r="K183" s="45" t="s">
        <v>289</v>
      </c>
      <c r="L183" s="45" t="s">
        <v>289</v>
      </c>
      <c r="M183" s="8"/>
      <c r="N183" s="272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M186" s="8"/>
      <c r="N186" s="272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/>
      <c r="G187" s="18"/>
      <c r="H187" s="18"/>
      <c r="I187" s="18"/>
      <c r="J187" s="24" t="s">
        <v>289</v>
      </c>
      <c r="K187" s="24" t="s">
        <v>289</v>
      </c>
      <c r="L187" s="24" t="s">
        <v>289</v>
      </c>
      <c r="N187" s="270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289</v>
      </c>
      <c r="K188" s="45" t="s">
        <v>289</v>
      </c>
      <c r="L188" s="45" t="s">
        <v>289</v>
      </c>
      <c r="N188" s="270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/>
      <c r="G191" s="18"/>
      <c r="H191" s="18"/>
      <c r="I191" s="18"/>
      <c r="J191" s="24" t="s">
        <v>289</v>
      </c>
      <c r="K191" s="24" t="s">
        <v>289</v>
      </c>
      <c r="L191" s="24" t="s">
        <v>289</v>
      </c>
      <c r="M191" s="8"/>
      <c r="N191" s="272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6" t="s">
        <v>431</v>
      </c>
      <c r="E192" s="51">
        <v>5000</v>
      </c>
      <c r="F192" s="41">
        <f>F177+F183+SUM(F188:F191)</f>
        <v>0</v>
      </c>
      <c r="G192" s="41">
        <f>G183+SUM(G188:G191)</f>
        <v>50243</v>
      </c>
      <c r="H192" s="41">
        <f>+H183+SUM(H188:H191)</f>
        <v>0</v>
      </c>
      <c r="I192" s="41">
        <f>I177+I183+SUM(I188:I191)</f>
        <v>0</v>
      </c>
      <c r="J192" s="41">
        <f>J183</f>
        <v>0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7" t="s">
        <v>431</v>
      </c>
      <c r="E193" s="44"/>
      <c r="F193" s="47">
        <f>F112+F140+F169+F192</f>
        <v>4170347</v>
      </c>
      <c r="G193" s="47">
        <f>G112+G140+G169+G192</f>
        <v>132943</v>
      </c>
      <c r="H193" s="47">
        <f>H112+H140+H169+H192</f>
        <v>87309</v>
      </c>
      <c r="I193" s="47">
        <f>I112+I140+I169+I192</f>
        <v>0</v>
      </c>
      <c r="J193" s="47">
        <f>J112+J140+J192</f>
        <v>11</v>
      </c>
      <c r="K193" s="45" t="s">
        <v>289</v>
      </c>
      <c r="L193" s="45" t="s">
        <v>289</v>
      </c>
      <c r="M193" s="8"/>
      <c r="N193" s="272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7" t="s">
        <v>693</v>
      </c>
      <c r="G194" s="177" t="s">
        <v>694</v>
      </c>
      <c r="H194" s="177" t="s">
        <v>695</v>
      </c>
      <c r="I194" s="177" t="s">
        <v>696</v>
      </c>
      <c r="J194" s="177" t="s">
        <v>697</v>
      </c>
      <c r="K194" s="177" t="s">
        <v>698</v>
      </c>
      <c r="L194" s="56"/>
      <c r="M194" s="8"/>
      <c r="N194" s="272"/>
    </row>
    <row r="195" spans="1:14" s="3" customFormat="1" ht="12" customHeight="1" x14ac:dyDescent="0.15">
      <c r="A195" s="29" t="s">
        <v>452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72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>
        <v>1022594</v>
      </c>
      <c r="G197" s="18">
        <v>483475</v>
      </c>
      <c r="H197" s="18">
        <f>14408-1886-2820</f>
        <v>9702</v>
      </c>
      <c r="I197" s="18">
        <v>51374</v>
      </c>
      <c r="J197" s="18"/>
      <c r="K197" s="18"/>
      <c r="L197" s="19">
        <f>SUM(F197:K197)</f>
        <v>1567145</v>
      </c>
      <c r="M197" s="8"/>
      <c r="N197" s="272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>
        <v>230931</v>
      </c>
      <c r="G198" s="18">
        <v>93241</v>
      </c>
      <c r="H198" s="18">
        <v>56351</v>
      </c>
      <c r="I198" s="18">
        <v>2427</v>
      </c>
      <c r="J198" s="18"/>
      <c r="K198" s="18">
        <v>635</v>
      </c>
      <c r="L198" s="19">
        <f>SUM(F198:K198)</f>
        <v>383585</v>
      </c>
      <c r="M198" s="8"/>
      <c r="N198" s="272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>
        <v>10250</v>
      </c>
      <c r="G200" s="18">
        <v>1918</v>
      </c>
      <c r="H200" s="18">
        <v>2545</v>
      </c>
      <c r="I200" s="18">
        <v>2884</v>
      </c>
      <c r="J200" s="18"/>
      <c r="K200" s="18"/>
      <c r="L200" s="19">
        <f>SUM(F200:K200)</f>
        <v>17597</v>
      </c>
      <c r="M200" s="8"/>
      <c r="N200" s="272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72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>
        <v>67776</v>
      </c>
      <c r="G202" s="18">
        <v>33849</v>
      </c>
      <c r="H202" s="18">
        <v>97485</v>
      </c>
      <c r="I202" s="18">
        <v>2250</v>
      </c>
      <c r="J202" s="18"/>
      <c r="K202" s="18"/>
      <c r="L202" s="19">
        <f t="shared" ref="L202:L208" si="0">SUM(F202:K202)</f>
        <v>201360</v>
      </c>
      <c r="M202" s="8"/>
      <c r="N202" s="272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>
        <v>13641</v>
      </c>
      <c r="G203" s="18">
        <v>46405</v>
      </c>
      <c r="H203" s="18">
        <v>8694</v>
      </c>
      <c r="I203" s="18">
        <v>6029</v>
      </c>
      <c r="J203" s="18"/>
      <c r="K203" s="18"/>
      <c r="L203" s="19">
        <f t="shared" si="0"/>
        <v>74769</v>
      </c>
      <c r="M203" s="8"/>
      <c r="N203" s="272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>
        <v>1650</v>
      </c>
      <c r="G204" s="18">
        <v>24</v>
      </c>
      <c r="H204" s="18">
        <v>108849</v>
      </c>
      <c r="I204" s="18">
        <v>383</v>
      </c>
      <c r="J204" s="18"/>
      <c r="K204" s="18">
        <v>2943</v>
      </c>
      <c r="L204" s="19">
        <f t="shared" si="0"/>
        <v>113849</v>
      </c>
      <c r="M204" s="8"/>
      <c r="N204" s="272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>
        <v>114360</v>
      </c>
      <c r="G205" s="18">
        <v>46233</v>
      </c>
      <c r="H205" s="18">
        <v>7358</v>
      </c>
      <c r="I205" s="18">
        <v>1562</v>
      </c>
      <c r="J205" s="18">
        <v>9870</v>
      </c>
      <c r="K205" s="18">
        <v>675</v>
      </c>
      <c r="L205" s="19">
        <f t="shared" si="0"/>
        <v>180058</v>
      </c>
      <c r="M205" s="8"/>
      <c r="N205" s="272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2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>
        <v>72609</v>
      </c>
      <c r="G207" s="18">
        <v>16238</v>
      </c>
      <c r="H207" s="18">
        <f>75198-4190-8880</f>
        <v>62128</v>
      </c>
      <c r="I207" s="18">
        <v>72738</v>
      </c>
      <c r="J207" s="18"/>
      <c r="K207" s="18"/>
      <c r="L207" s="19">
        <f t="shared" si="0"/>
        <v>223713</v>
      </c>
      <c r="M207" s="8"/>
      <c r="N207" s="272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/>
      <c r="G208" s="18"/>
      <c r="H208" s="18">
        <v>166586</v>
      </c>
      <c r="I208" s="18">
        <v>11014</v>
      </c>
      <c r="J208" s="18"/>
      <c r="K208" s="18"/>
      <c r="L208" s="19">
        <f t="shared" si="0"/>
        <v>177600</v>
      </c>
      <c r="M208" s="8"/>
      <c r="N208" s="272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/>
      <c r="G209" s="18"/>
      <c r="H209" s="18"/>
      <c r="I209" s="18">
        <v>8770</v>
      </c>
      <c r="J209" s="18"/>
      <c r="K209" s="18"/>
      <c r="L209" s="19">
        <f>SUM(F209:K209)</f>
        <v>8770</v>
      </c>
      <c r="M209" s="8"/>
      <c r="N209" s="272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72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1533811</v>
      </c>
      <c r="G211" s="41">
        <f t="shared" si="1"/>
        <v>721383</v>
      </c>
      <c r="H211" s="41">
        <f t="shared" si="1"/>
        <v>519698</v>
      </c>
      <c r="I211" s="41">
        <f t="shared" si="1"/>
        <v>159431</v>
      </c>
      <c r="J211" s="41">
        <f t="shared" si="1"/>
        <v>9870</v>
      </c>
      <c r="K211" s="41">
        <f t="shared" si="1"/>
        <v>4253</v>
      </c>
      <c r="L211" s="41">
        <f t="shared" si="1"/>
        <v>2948446</v>
      </c>
      <c r="M211" s="8"/>
      <c r="N211" s="272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7" t="s">
        <v>693</v>
      </c>
      <c r="G212" s="177" t="s">
        <v>694</v>
      </c>
      <c r="H212" s="177" t="s">
        <v>695</v>
      </c>
      <c r="I212" s="177" t="s">
        <v>696</v>
      </c>
      <c r="J212" s="177" t="s">
        <v>697</v>
      </c>
      <c r="K212" s="177" t="s">
        <v>698</v>
      </c>
      <c r="L212" s="67"/>
      <c r="M212" s="8"/>
      <c r="N212" s="272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72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  <c r="N215" s="272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2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72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2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/>
      <c r="G226" s="18"/>
      <c r="H226" s="18"/>
      <c r="I226" s="18"/>
      <c r="J226" s="18"/>
      <c r="K226" s="18"/>
      <c r="L226" s="19">
        <f t="shared" si="2"/>
        <v>0</v>
      </c>
      <c r="M226" s="8"/>
      <c r="N226" s="272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72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0</v>
      </c>
      <c r="G229" s="41">
        <f>SUM(G215:G228)</f>
        <v>0</v>
      </c>
      <c r="H229" s="41">
        <f>SUM(H215:H228)</f>
        <v>0</v>
      </c>
      <c r="I229" s="41">
        <f>SUM(I215:I228)</f>
        <v>0</v>
      </c>
      <c r="J229" s="41">
        <f>SUM(J215:J228)</f>
        <v>0</v>
      </c>
      <c r="K229" s="41">
        <f t="shared" si="3"/>
        <v>0</v>
      </c>
      <c r="L229" s="41">
        <f t="shared" si="3"/>
        <v>0</v>
      </c>
      <c r="M229" s="8"/>
      <c r="N229" s="272"/>
    </row>
    <row r="230" spans="1:14" s="3" customFormat="1" ht="12" customHeight="1" x14ac:dyDescent="0.15">
      <c r="A230" s="55" t="s">
        <v>466</v>
      </c>
      <c r="B230" s="36"/>
      <c r="C230" s="75"/>
      <c r="D230" s="75"/>
      <c r="E230" s="75"/>
      <c r="F230" s="177" t="s">
        <v>693</v>
      </c>
      <c r="G230" s="177" t="s">
        <v>694</v>
      </c>
      <c r="H230" s="177" t="s">
        <v>695</v>
      </c>
      <c r="I230" s="177" t="s">
        <v>696</v>
      </c>
      <c r="J230" s="177" t="s">
        <v>697</v>
      </c>
      <c r="K230" s="177" t="s">
        <v>698</v>
      </c>
      <c r="L230" s="67"/>
      <c r="M230" s="8"/>
      <c r="N230" s="272"/>
    </row>
    <row r="231" spans="1:14" s="3" customFormat="1" ht="12" customHeight="1" x14ac:dyDescent="0.15">
      <c r="A231" s="29" t="s">
        <v>454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72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/>
      <c r="G233" s="18"/>
      <c r="H233" s="18">
        <v>774745</v>
      </c>
      <c r="I233" s="18"/>
      <c r="J233" s="18"/>
      <c r="K233" s="18"/>
      <c r="L233" s="19">
        <f>SUM(F233:K233)</f>
        <v>774745</v>
      </c>
      <c r="M233" s="8"/>
      <c r="N233" s="272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/>
      <c r="G234" s="18"/>
      <c r="H234" s="18">
        <v>140682</v>
      </c>
      <c r="I234" s="18"/>
      <c r="J234" s="18"/>
      <c r="K234" s="18"/>
      <c r="L234" s="19">
        <f>SUM(F234:K234)</f>
        <v>140682</v>
      </c>
      <c r="M234" s="8"/>
      <c r="N234" s="272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2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/>
      <c r="G236" s="18"/>
      <c r="H236" s="18"/>
      <c r="I236" s="18"/>
      <c r="J236" s="18"/>
      <c r="K236" s="18"/>
      <c r="L236" s="19">
        <f>SUM(F236:K236)</f>
        <v>0</v>
      </c>
      <c r="M236" s="8"/>
      <c r="N236" s="272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72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/>
      <c r="G238" s="18"/>
      <c r="H238" s="18"/>
      <c r="I238" s="18"/>
      <c r="J238" s="18"/>
      <c r="K238" s="18"/>
      <c r="L238" s="19">
        <f t="shared" ref="L238:L244" si="4">SUM(F238:K238)</f>
        <v>0</v>
      </c>
      <c r="M238" s="8"/>
      <c r="N238" s="272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2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  <c r="N240" s="272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  <c r="N243" s="272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/>
      <c r="G244" s="18"/>
      <c r="H244" s="18">
        <f>129813+15531</f>
        <v>145344</v>
      </c>
      <c r="I244" s="18"/>
      <c r="J244" s="18"/>
      <c r="K244" s="18"/>
      <c r="L244" s="19">
        <f t="shared" si="4"/>
        <v>145344</v>
      </c>
      <c r="M244" s="8"/>
      <c r="N244" s="272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72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0</v>
      </c>
      <c r="G247" s="41">
        <f t="shared" si="5"/>
        <v>0</v>
      </c>
      <c r="H247" s="41">
        <f t="shared" si="5"/>
        <v>1060771</v>
      </c>
      <c r="I247" s="41">
        <f t="shared" si="5"/>
        <v>0</v>
      </c>
      <c r="J247" s="41">
        <f t="shared" si="5"/>
        <v>0</v>
      </c>
      <c r="K247" s="41">
        <f t="shared" si="5"/>
        <v>0</v>
      </c>
      <c r="L247" s="41">
        <f t="shared" si="5"/>
        <v>1060771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693</v>
      </c>
      <c r="G248" s="177" t="s">
        <v>694</v>
      </c>
      <c r="H248" s="177" t="s">
        <v>695</v>
      </c>
      <c r="I248" s="177" t="s">
        <v>696</v>
      </c>
      <c r="J248" s="177" t="s">
        <v>697</v>
      </c>
      <c r="K248" s="177" t="s">
        <v>698</v>
      </c>
      <c r="L248" s="67"/>
      <c r="M248" s="8"/>
      <c r="N248" s="272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/>
      <c r="G255" s="18"/>
      <c r="H255" s="18"/>
      <c r="I255" s="18"/>
      <c r="J255" s="18"/>
      <c r="K255" s="18">
        <v>5700</v>
      </c>
      <c r="L255" s="19">
        <f t="shared" si="6"/>
        <v>5700</v>
      </c>
      <c r="M255" s="8"/>
      <c r="N255" s="272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5700</v>
      </c>
      <c r="L256" s="41">
        <f>SUM(F256:K256)</f>
        <v>5700</v>
      </c>
      <c r="M256" s="8"/>
      <c r="N256" s="272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1533811</v>
      </c>
      <c r="G257" s="41">
        <f t="shared" si="8"/>
        <v>721383</v>
      </c>
      <c r="H257" s="41">
        <f t="shared" si="8"/>
        <v>1580469</v>
      </c>
      <c r="I257" s="41">
        <f t="shared" si="8"/>
        <v>159431</v>
      </c>
      <c r="J257" s="41">
        <f t="shared" si="8"/>
        <v>9870</v>
      </c>
      <c r="K257" s="41">
        <f t="shared" si="8"/>
        <v>9953</v>
      </c>
      <c r="L257" s="41">
        <f t="shared" si="8"/>
        <v>4014917</v>
      </c>
      <c r="M257" s="8"/>
      <c r="N257" s="272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72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72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/>
      <c r="L260" s="19">
        <f>SUM(F260:K260)</f>
        <v>0</v>
      </c>
      <c r="M260" s="8"/>
      <c r="N260" s="272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/>
      <c r="L261" s="19">
        <f>SUM(F261:K261)</f>
        <v>0</v>
      </c>
      <c r="N261" s="270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270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>
        <f>35420+14823</f>
        <v>50243</v>
      </c>
      <c r="L263" s="19">
        <f>SUM(F263:K263)</f>
        <v>50243</v>
      </c>
      <c r="N263" s="270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/>
      <c r="L266" s="19">
        <f t="shared" si="9"/>
        <v>0</v>
      </c>
      <c r="N266" s="270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270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50243</v>
      </c>
      <c r="L270" s="41">
        <f t="shared" si="9"/>
        <v>50243</v>
      </c>
      <c r="N270" s="270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1533811</v>
      </c>
      <c r="G271" s="42">
        <f t="shared" si="11"/>
        <v>721383</v>
      </c>
      <c r="H271" s="42">
        <f t="shared" si="11"/>
        <v>1580469</v>
      </c>
      <c r="I271" s="42">
        <f t="shared" si="11"/>
        <v>159431</v>
      </c>
      <c r="J271" s="42">
        <f t="shared" si="11"/>
        <v>9870</v>
      </c>
      <c r="K271" s="42">
        <f t="shared" si="11"/>
        <v>60196</v>
      </c>
      <c r="L271" s="42">
        <f t="shared" si="11"/>
        <v>4065160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467</v>
      </c>
      <c r="F273" s="177" t="s">
        <v>693</v>
      </c>
      <c r="G273" s="177" t="s">
        <v>694</v>
      </c>
      <c r="H273" s="177" t="s">
        <v>695</v>
      </c>
      <c r="I273" s="177" t="s">
        <v>696</v>
      </c>
      <c r="J273" s="177" t="s">
        <v>697</v>
      </c>
      <c r="K273" s="177" t="s">
        <v>698</v>
      </c>
      <c r="M273" s="8"/>
      <c r="N273" s="272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72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>
        <v>1500</v>
      </c>
      <c r="G276" s="18">
        <v>256</v>
      </c>
      <c r="H276" s="18">
        <v>1609</v>
      </c>
      <c r="I276" s="18">
        <v>2518</v>
      </c>
      <c r="J276" s="18"/>
      <c r="K276" s="18"/>
      <c r="L276" s="19">
        <f>SUM(F276:K276)</f>
        <v>5883</v>
      </c>
      <c r="M276" s="8"/>
      <c r="N276" s="272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>
        <v>48831</v>
      </c>
      <c r="G277" s="18">
        <v>5074</v>
      </c>
      <c r="H277" s="18"/>
      <c r="I277" s="18">
        <v>1865</v>
      </c>
      <c r="J277" s="18"/>
      <c r="K277" s="18"/>
      <c r="L277" s="19">
        <f>SUM(F277:K277)</f>
        <v>55770</v>
      </c>
      <c r="M277" s="8"/>
      <c r="N277" s="272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2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72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/>
      <c r="G281" s="18"/>
      <c r="H281" s="18">
        <v>19358</v>
      </c>
      <c r="I281" s="18"/>
      <c r="J281" s="18"/>
      <c r="K281" s="18"/>
      <c r="L281" s="19">
        <f t="shared" ref="L281:L287" si="12">SUM(F281:K281)</f>
        <v>19358</v>
      </c>
      <c r="M281" s="8"/>
      <c r="N281" s="272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/>
      <c r="G282" s="18"/>
      <c r="H282" s="18">
        <v>4500</v>
      </c>
      <c r="I282" s="18"/>
      <c r="J282" s="18"/>
      <c r="K282" s="18"/>
      <c r="L282" s="19">
        <f t="shared" si="12"/>
        <v>4500</v>
      </c>
      <c r="M282" s="8"/>
      <c r="N282" s="272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/>
      <c r="G285" s="18"/>
      <c r="H285" s="18"/>
      <c r="I285" s="18"/>
      <c r="J285" s="18"/>
      <c r="K285" s="18">
        <v>1798</v>
      </c>
      <c r="L285" s="19">
        <f t="shared" si="12"/>
        <v>1798</v>
      </c>
      <c r="M285" s="8"/>
      <c r="N285" s="272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72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50331</v>
      </c>
      <c r="G290" s="42">
        <f t="shared" si="13"/>
        <v>5330</v>
      </c>
      <c r="H290" s="42">
        <f t="shared" si="13"/>
        <v>25467</v>
      </c>
      <c r="I290" s="42">
        <f t="shared" si="13"/>
        <v>4383</v>
      </c>
      <c r="J290" s="42">
        <f t="shared" si="13"/>
        <v>0</v>
      </c>
      <c r="K290" s="42">
        <f t="shared" si="13"/>
        <v>1798</v>
      </c>
      <c r="L290" s="41">
        <f t="shared" si="13"/>
        <v>87309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7" t="s">
        <v>693</v>
      </c>
      <c r="G292" s="177" t="s">
        <v>694</v>
      </c>
      <c r="H292" s="177" t="s">
        <v>695</v>
      </c>
      <c r="I292" s="177" t="s">
        <v>696</v>
      </c>
      <c r="J292" s="177" t="s">
        <v>697</v>
      </c>
      <c r="K292" s="177" t="s">
        <v>698</v>
      </c>
      <c r="L292" s="17"/>
      <c r="M292" s="8"/>
      <c r="N292" s="272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72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72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72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7" t="s">
        <v>693</v>
      </c>
      <c r="G311" s="177" t="s">
        <v>694</v>
      </c>
      <c r="H311" s="177" t="s">
        <v>695</v>
      </c>
      <c r="I311" s="177" t="s">
        <v>696</v>
      </c>
      <c r="J311" s="177" t="s">
        <v>697</v>
      </c>
      <c r="K311" s="177" t="s">
        <v>698</v>
      </c>
      <c r="L311" s="20"/>
      <c r="M311" s="8"/>
      <c r="N311" s="272"/>
    </row>
    <row r="312" spans="1:14" s="3" customFormat="1" ht="12" customHeight="1" x14ac:dyDescent="0.15">
      <c r="A312" s="29" t="s">
        <v>454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72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72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72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0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7" t="s">
        <v>693</v>
      </c>
      <c r="G330" s="177" t="s">
        <v>694</v>
      </c>
      <c r="H330" s="177" t="s">
        <v>695</v>
      </c>
      <c r="I330" s="177" t="s">
        <v>696</v>
      </c>
      <c r="J330" s="177" t="s">
        <v>697</v>
      </c>
      <c r="K330" s="177" t="s">
        <v>698</v>
      </c>
      <c r="L330" s="19"/>
      <c r="M330" s="8"/>
      <c r="N330" s="272"/>
    </row>
    <row r="331" spans="1:14" s="3" customFormat="1" ht="12" customHeight="1" x14ac:dyDescent="0.15">
      <c r="A331" s="29" t="s">
        <v>362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50331</v>
      </c>
      <c r="G338" s="41">
        <f t="shared" si="20"/>
        <v>5330</v>
      </c>
      <c r="H338" s="41">
        <f t="shared" si="20"/>
        <v>25467</v>
      </c>
      <c r="I338" s="41">
        <f t="shared" si="20"/>
        <v>4383</v>
      </c>
      <c r="J338" s="41">
        <f t="shared" si="20"/>
        <v>0</v>
      </c>
      <c r="K338" s="41">
        <f t="shared" si="20"/>
        <v>1798</v>
      </c>
      <c r="L338" s="41">
        <f t="shared" si="20"/>
        <v>87309</v>
      </c>
      <c r="M338" s="8"/>
      <c r="N338" s="272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72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72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50331</v>
      </c>
      <c r="G352" s="41">
        <f>G338</f>
        <v>5330</v>
      </c>
      <c r="H352" s="41">
        <f>H338</f>
        <v>25467</v>
      </c>
      <c r="I352" s="41">
        <f>I338</f>
        <v>4383</v>
      </c>
      <c r="J352" s="41">
        <f>J338</f>
        <v>0</v>
      </c>
      <c r="K352" s="47">
        <f>K338+K351</f>
        <v>1798</v>
      </c>
      <c r="L352" s="41">
        <f>L338+L351</f>
        <v>87309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693</v>
      </c>
      <c r="G354" s="177" t="s">
        <v>694</v>
      </c>
      <c r="H354" s="177" t="s">
        <v>695</v>
      </c>
      <c r="I354" s="177" t="s">
        <v>696</v>
      </c>
      <c r="J354" s="177" t="s">
        <v>697</v>
      </c>
      <c r="K354" s="177" t="s">
        <v>698</v>
      </c>
      <c r="L354" s="53"/>
      <c r="M354" s="8"/>
      <c r="N354" s="272"/>
    </row>
    <row r="355" spans="1:22" s="3" customFormat="1" ht="12" customHeight="1" x14ac:dyDescent="0.15">
      <c r="A355" s="29" t="s">
        <v>282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72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>
        <v>34803</v>
      </c>
      <c r="G358" s="18">
        <v>21773</v>
      </c>
      <c r="H358" s="18">
        <v>4723</v>
      </c>
      <c r="I358" s="18">
        <f>60913-1897</f>
        <v>59016</v>
      </c>
      <c r="J358" s="18">
        <f>10731-6186</f>
        <v>4545</v>
      </c>
      <c r="K358" s="18"/>
      <c r="L358" s="13">
        <f>SUM(F358:K358)</f>
        <v>124860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/>
      <c r="G360" s="18"/>
      <c r="H360" s="18"/>
      <c r="I360" s="18"/>
      <c r="J360" s="18"/>
      <c r="K360" s="18"/>
      <c r="L360" s="19">
        <f>SUM(F360:K360)</f>
        <v>0</v>
      </c>
      <c r="M360" s="8"/>
      <c r="N360" s="272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34803</v>
      </c>
      <c r="G362" s="47">
        <f t="shared" si="22"/>
        <v>21773</v>
      </c>
      <c r="H362" s="47">
        <f t="shared" si="22"/>
        <v>4723</v>
      </c>
      <c r="I362" s="47">
        <f t="shared" si="22"/>
        <v>59016</v>
      </c>
      <c r="J362" s="47">
        <f t="shared" si="22"/>
        <v>4545</v>
      </c>
      <c r="K362" s="47">
        <f t="shared" si="22"/>
        <v>0</v>
      </c>
      <c r="L362" s="47">
        <f t="shared" si="22"/>
        <v>124860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>
        <f>55538+2038</f>
        <v>57576</v>
      </c>
      <c r="G367" s="18"/>
      <c r="H367" s="18"/>
      <c r="I367" s="56">
        <f>SUM(F367:H367)</f>
        <v>57576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63">
        <v>1440</v>
      </c>
      <c r="G368" s="63"/>
      <c r="H368" s="63"/>
      <c r="I368" s="56">
        <f>SUM(F368:H368)</f>
        <v>1440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59016</v>
      </c>
      <c r="G369" s="47">
        <f>SUM(G367:G368)</f>
        <v>0</v>
      </c>
      <c r="H369" s="47">
        <f>SUM(H367:H368)</f>
        <v>0</v>
      </c>
      <c r="I369" s="47">
        <f>SUM(I367:I368)</f>
        <v>59016</v>
      </c>
      <c r="J369" s="24" t="s">
        <v>289</v>
      </c>
      <c r="K369" s="24" t="s">
        <v>289</v>
      </c>
      <c r="L369" s="24" t="s">
        <v>289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7" t="s">
        <v>693</v>
      </c>
      <c r="G371" s="177" t="s">
        <v>694</v>
      </c>
      <c r="H371" s="177" t="s">
        <v>695</v>
      </c>
      <c r="I371" s="177" t="s">
        <v>696</v>
      </c>
      <c r="J371" s="177" t="s">
        <v>697</v>
      </c>
      <c r="K371" s="177" t="s">
        <v>698</v>
      </c>
      <c r="L371" s="13"/>
      <c r="M371" s="8"/>
      <c r="N371" s="272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72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483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7" t="s">
        <v>341</v>
      </c>
      <c r="M386" s="8"/>
      <c r="N386" s="272"/>
    </row>
    <row r="387" spans="1:14" s="3" customFormat="1" ht="12" customHeight="1" x14ac:dyDescent="0.15">
      <c r="A387" s="79" t="s">
        <v>553</v>
      </c>
      <c r="B387" s="2" t="s">
        <v>382</v>
      </c>
      <c r="C387" s="6">
        <v>1</v>
      </c>
      <c r="D387" s="2" t="s">
        <v>433</v>
      </c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554</v>
      </c>
      <c r="B388" s="2" t="s">
        <v>382</v>
      </c>
      <c r="C388" s="6">
        <v>2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555</v>
      </c>
      <c r="B389" s="2" t="s">
        <v>382</v>
      </c>
      <c r="C389" s="6">
        <v>3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556</v>
      </c>
      <c r="B390" s="2" t="s">
        <v>382</v>
      </c>
      <c r="C390" s="6">
        <v>4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557</v>
      </c>
      <c r="B391" s="2" t="s">
        <v>382</v>
      </c>
      <c r="C391" s="6">
        <v>5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558</v>
      </c>
      <c r="B392" s="2" t="s">
        <v>382</v>
      </c>
      <c r="C392" s="6">
        <v>6</v>
      </c>
      <c r="D392" s="2" t="s">
        <v>433</v>
      </c>
      <c r="E392" s="6"/>
      <c r="F392" s="18"/>
      <c r="G392" s="18"/>
      <c r="H392" s="18"/>
      <c r="I392" s="18"/>
      <c r="J392" s="24" t="s">
        <v>289</v>
      </c>
      <c r="K392" s="24" t="s">
        <v>289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0</v>
      </c>
      <c r="I393" s="65">
        <f>SUM(I387:I392)</f>
        <v>0</v>
      </c>
      <c r="J393" s="45" t="s">
        <v>289</v>
      </c>
      <c r="K393" s="45" t="s">
        <v>289</v>
      </c>
      <c r="L393" s="47">
        <f>SUM(L387:L392)</f>
        <v>0</v>
      </c>
      <c r="M393" s="8"/>
      <c r="N393" s="272"/>
    </row>
    <row r="394" spans="1:14" s="3" customFormat="1" ht="12" customHeight="1" x14ac:dyDescent="0.15">
      <c r="A394" s="78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72"/>
    </row>
    <row r="395" spans="1:14" s="3" customFormat="1" ht="12" customHeight="1" x14ac:dyDescent="0.15">
      <c r="A395" s="79" t="s">
        <v>559</v>
      </c>
      <c r="B395" s="2" t="s">
        <v>382</v>
      </c>
      <c r="C395" s="6">
        <v>8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560</v>
      </c>
      <c r="B396" s="2" t="s">
        <v>382</v>
      </c>
      <c r="C396" s="6">
        <v>9</v>
      </c>
      <c r="D396" s="2" t="s">
        <v>433</v>
      </c>
      <c r="E396" s="6"/>
      <c r="F396" s="18"/>
      <c r="G396" s="18"/>
      <c r="H396" s="18">
        <v>3</v>
      </c>
      <c r="I396" s="18"/>
      <c r="J396" s="24" t="s">
        <v>289</v>
      </c>
      <c r="K396" s="24" t="s">
        <v>289</v>
      </c>
      <c r="L396" s="56">
        <f t="shared" si="26"/>
        <v>3</v>
      </c>
      <c r="M396" s="8"/>
      <c r="N396" s="272"/>
    </row>
    <row r="397" spans="1:14" s="3" customFormat="1" ht="12" customHeight="1" x14ac:dyDescent="0.15">
      <c r="A397" s="79" t="s">
        <v>518</v>
      </c>
      <c r="B397" s="2" t="s">
        <v>382</v>
      </c>
      <c r="C397" s="6">
        <v>10</v>
      </c>
      <c r="D397" s="2" t="s">
        <v>433</v>
      </c>
      <c r="E397" s="6"/>
      <c r="F397" s="18"/>
      <c r="G397" s="18"/>
      <c r="H397" s="18">
        <v>6</v>
      </c>
      <c r="I397" s="18"/>
      <c r="J397" s="24" t="s">
        <v>289</v>
      </c>
      <c r="K397" s="24" t="s">
        <v>289</v>
      </c>
      <c r="L397" s="56">
        <f t="shared" si="26"/>
        <v>6</v>
      </c>
      <c r="M397" s="8"/>
      <c r="N397" s="272"/>
    </row>
    <row r="398" spans="1:14" s="3" customFormat="1" ht="12" customHeight="1" x14ac:dyDescent="0.15">
      <c r="A398" s="79" t="s">
        <v>561</v>
      </c>
      <c r="B398" s="2" t="s">
        <v>382</v>
      </c>
      <c r="C398" s="6">
        <v>11</v>
      </c>
      <c r="D398" s="2" t="s">
        <v>433</v>
      </c>
      <c r="E398" s="6"/>
      <c r="F398" s="18"/>
      <c r="G398" s="18"/>
      <c r="H398" s="18">
        <v>2</v>
      </c>
      <c r="I398" s="18"/>
      <c r="J398" s="24" t="s">
        <v>289</v>
      </c>
      <c r="K398" s="24" t="s">
        <v>289</v>
      </c>
      <c r="L398" s="56">
        <f t="shared" si="26"/>
        <v>2</v>
      </c>
      <c r="M398" s="8"/>
      <c r="N398" s="272"/>
    </row>
    <row r="399" spans="1:14" s="3" customFormat="1" ht="12" customHeight="1" x14ac:dyDescent="0.15">
      <c r="A399" s="79" t="s">
        <v>562</v>
      </c>
      <c r="B399" s="2" t="s">
        <v>382</v>
      </c>
      <c r="C399" s="6">
        <v>12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2"/>
    </row>
    <row r="400" spans="1:14" s="3" customFormat="1" ht="12" customHeight="1" thickBot="1" x14ac:dyDescent="0.2">
      <c r="A400" s="79" t="s">
        <v>513</v>
      </c>
      <c r="B400" s="2" t="s">
        <v>382</v>
      </c>
      <c r="C400" s="6">
        <v>13</v>
      </c>
      <c r="D400" s="2" t="s">
        <v>433</v>
      </c>
      <c r="E400" s="6"/>
      <c r="F400" s="18"/>
      <c r="G400" s="18"/>
      <c r="H400" s="18"/>
      <c r="I400" s="18"/>
      <c r="J400" s="24" t="s">
        <v>289</v>
      </c>
      <c r="K400" s="24" t="s">
        <v>289</v>
      </c>
      <c r="L400" s="56">
        <f t="shared" si="26"/>
        <v>0</v>
      </c>
      <c r="M400" s="8"/>
      <c r="N400" s="272"/>
    </row>
    <row r="401" spans="1:21" s="3" customFormat="1" ht="12" customHeight="1" thickTop="1" x14ac:dyDescent="0.15">
      <c r="A401" s="160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0</v>
      </c>
      <c r="H401" s="47">
        <f>SUM(H395:H400)</f>
        <v>11</v>
      </c>
      <c r="I401" s="47">
        <f>SUM(I395:I400)</f>
        <v>0</v>
      </c>
      <c r="J401" s="45" t="s">
        <v>289</v>
      </c>
      <c r="K401" s="45" t="s">
        <v>289</v>
      </c>
      <c r="L401" s="47">
        <f>SUM(L395:L400)</f>
        <v>11</v>
      </c>
      <c r="M401" s="8"/>
      <c r="N401" s="272"/>
    </row>
    <row r="402" spans="1:21" s="3" customFormat="1" ht="12" customHeight="1" x14ac:dyDescent="0.15">
      <c r="A402" s="78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15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16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382</v>
      </c>
      <c r="C405" s="6">
        <v>17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382</v>
      </c>
      <c r="C406" s="6">
        <v>18</v>
      </c>
      <c r="D406" s="2" t="s">
        <v>433</v>
      </c>
      <c r="E406" s="6"/>
      <c r="F406" s="18"/>
      <c r="G406" s="18"/>
      <c r="H406" s="18"/>
      <c r="I406" s="18"/>
      <c r="J406" s="24" t="s">
        <v>289</v>
      </c>
      <c r="K406" s="24" t="s">
        <v>289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289</v>
      </c>
      <c r="K407" s="49" t="s">
        <v>289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0</v>
      </c>
      <c r="H408" s="47">
        <f>H393+H401+H407</f>
        <v>11</v>
      </c>
      <c r="I408" s="47">
        <f>I393+I401+I407</f>
        <v>0</v>
      </c>
      <c r="J408" s="24" t="s">
        <v>289</v>
      </c>
      <c r="K408" s="24" t="s">
        <v>289</v>
      </c>
      <c r="L408" s="47">
        <f>L393+L401+L407</f>
        <v>11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693</v>
      </c>
      <c r="G409" s="177" t="s">
        <v>694</v>
      </c>
      <c r="H409" s="177" t="s">
        <v>695</v>
      </c>
      <c r="I409" s="177" t="s">
        <v>696</v>
      </c>
      <c r="J409" s="177" t="s">
        <v>697</v>
      </c>
      <c r="K409" s="177" t="s">
        <v>698</v>
      </c>
      <c r="L409" s="56"/>
      <c r="M409" s="8"/>
      <c r="N409" s="272"/>
    </row>
    <row r="410" spans="1:21" s="3" customFormat="1" ht="12" customHeight="1" x14ac:dyDescent="0.15">
      <c r="A410" s="26" t="s">
        <v>483</v>
      </c>
      <c r="B410" s="76"/>
      <c r="C410" s="76"/>
      <c r="D410" s="76"/>
      <c r="E410" s="76"/>
      <c r="F410" s="66"/>
      <c r="G410" s="16" t="s">
        <v>385</v>
      </c>
      <c r="H410" s="16" t="s">
        <v>386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7" t="s">
        <v>341</v>
      </c>
      <c r="M411" s="8"/>
      <c r="N411" s="272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72"/>
    </row>
    <row r="413" spans="1:21" s="3" customFormat="1" ht="12" customHeight="1" x14ac:dyDescent="0.15">
      <c r="A413" s="79" t="s">
        <v>553</v>
      </c>
      <c r="B413" s="6">
        <v>17</v>
      </c>
      <c r="C413" s="6">
        <v>1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554</v>
      </c>
      <c r="B414" s="6">
        <v>17</v>
      </c>
      <c r="C414" s="6">
        <v>2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555</v>
      </c>
      <c r="B415" s="6">
        <v>17</v>
      </c>
      <c r="C415" s="6">
        <v>3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556</v>
      </c>
      <c r="B416" s="6">
        <v>17</v>
      </c>
      <c r="C416" s="6">
        <v>4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557</v>
      </c>
      <c r="B417" s="6">
        <v>17</v>
      </c>
      <c r="C417" s="6">
        <v>5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558</v>
      </c>
      <c r="B418" s="6">
        <v>17</v>
      </c>
      <c r="C418" s="6">
        <v>6</v>
      </c>
      <c r="D418" s="2" t="s">
        <v>433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21" s="3" customFormat="1" ht="12" customHeight="1" x14ac:dyDescent="0.15">
      <c r="A420" s="78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72"/>
    </row>
    <row r="421" spans="1:21" s="3" customFormat="1" ht="12" customHeight="1" x14ac:dyDescent="0.15">
      <c r="A421" s="79" t="s">
        <v>559</v>
      </c>
      <c r="B421" s="6">
        <v>17</v>
      </c>
      <c r="C421" s="6">
        <v>8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560</v>
      </c>
      <c r="B422" s="6">
        <v>17</v>
      </c>
      <c r="C422" s="6">
        <v>9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518</v>
      </c>
      <c r="B423" s="6">
        <v>17</v>
      </c>
      <c r="C423" s="6">
        <v>10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561</v>
      </c>
      <c r="B424" s="6">
        <v>17</v>
      </c>
      <c r="C424" s="6">
        <v>11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562</v>
      </c>
      <c r="B425" s="6">
        <v>17</v>
      </c>
      <c r="C425" s="6">
        <v>12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513</v>
      </c>
      <c r="B426" s="6">
        <v>17</v>
      </c>
      <c r="C426" s="6">
        <v>13</v>
      </c>
      <c r="D426" s="2" t="s">
        <v>433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2"/>
    </row>
    <row r="428" spans="1:21" s="11" customFormat="1" ht="12" customHeight="1" x14ac:dyDescent="0.15">
      <c r="A428" s="78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433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0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/>
      <c r="G439" s="18"/>
      <c r="H439" s="18"/>
      <c r="I439" s="56">
        <f t="shared" ref="I439:I445" si="33">SUM(F439:H439)</f>
        <v>0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>
        <f>65121+13007+26309</f>
        <v>104437</v>
      </c>
      <c r="G442" s="18"/>
      <c r="H442" s="18"/>
      <c r="I442" s="56">
        <f t="shared" si="33"/>
        <v>104437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x14ac:dyDescent="0.15">
      <c r="A445" s="69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Bot="1" x14ac:dyDescent="0.2">
      <c r="A446" s="70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104437</v>
      </c>
      <c r="G446" s="13">
        <f>SUM(G439:G445)</f>
        <v>0</v>
      </c>
      <c r="H446" s="13">
        <f>SUM(H439:H445)</f>
        <v>0</v>
      </c>
      <c r="I446" s="13">
        <f>SUM(I439:I445)</f>
        <v>104437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x14ac:dyDescent="0.15">
      <c r="A451" s="69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Bot="1" x14ac:dyDescent="0.2">
      <c r="A452" s="74" t="s">
        <v>424</v>
      </c>
      <c r="B452" s="73">
        <v>18</v>
      </c>
      <c r="C452" s="71">
        <v>13</v>
      </c>
      <c r="D452" s="2" t="s">
        <v>433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289</v>
      </c>
      <c r="K454" s="24" t="s">
        <v>289</v>
      </c>
      <c r="L454" s="24" t="s">
        <v>289</v>
      </c>
      <c r="M454" s="8"/>
      <c r="N454" s="272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8"/>
      <c r="N456" s="272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289</v>
      </c>
      <c r="K457" s="24" t="s">
        <v>289</v>
      </c>
      <c r="L457" s="24" t="s">
        <v>289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>
        <v>104437</v>
      </c>
      <c r="G459" s="18"/>
      <c r="H459" s="18"/>
      <c r="I459" s="56">
        <f t="shared" si="34"/>
        <v>104437</v>
      </c>
      <c r="J459" s="24" t="s">
        <v>289</v>
      </c>
      <c r="K459" s="24" t="s">
        <v>289</v>
      </c>
      <c r="L459" s="24" t="s">
        <v>289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1">
        <v>18</v>
      </c>
      <c r="C460" s="51">
        <v>20</v>
      </c>
      <c r="D460" s="48" t="s">
        <v>433</v>
      </c>
      <c r="E460" s="51"/>
      <c r="F460" s="83">
        <f>SUM(F454:F459)</f>
        <v>104437</v>
      </c>
      <c r="G460" s="83">
        <f>SUM(G454:G459)</f>
        <v>0</v>
      </c>
      <c r="H460" s="83">
        <f>SUM(H454:H459)</f>
        <v>0</v>
      </c>
      <c r="I460" s="83">
        <f>SUM(I454:I459)</f>
        <v>104437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thickTop="1" x14ac:dyDescent="0.2">
      <c r="A461" s="91" t="s">
        <v>425</v>
      </c>
      <c r="B461" s="44">
        <v>18</v>
      </c>
      <c r="C461" s="82">
        <v>21</v>
      </c>
      <c r="D461" s="157" t="s">
        <v>433</v>
      </c>
      <c r="E461" s="82"/>
      <c r="F461" s="42">
        <f>F452+F460</f>
        <v>104437</v>
      </c>
      <c r="G461" s="42">
        <f>G452+G460</f>
        <v>0</v>
      </c>
      <c r="H461" s="42">
        <f>H452+H460</f>
        <v>0</v>
      </c>
      <c r="I461" s="42">
        <f>I452+I460</f>
        <v>104437</v>
      </c>
      <c r="J461" s="24" t="s">
        <v>289</v>
      </c>
      <c r="K461" s="24" t="s">
        <v>289</v>
      </c>
      <c r="L461" s="24" t="s">
        <v>289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891</v>
      </c>
      <c r="B465" s="105">
        <v>19</v>
      </c>
      <c r="C465" s="111">
        <v>1</v>
      </c>
      <c r="D465" s="2" t="s">
        <v>433</v>
      </c>
      <c r="E465" s="111"/>
      <c r="F465" s="18">
        <v>309095</v>
      </c>
      <c r="G465" s="18">
        <v>778</v>
      </c>
      <c r="H465" s="18"/>
      <c r="I465" s="18"/>
      <c r="J465" s="18">
        <v>104426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4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614</v>
      </c>
      <c r="B468" s="75">
        <v>19</v>
      </c>
      <c r="C468" s="80">
        <v>2</v>
      </c>
      <c r="D468" s="2" t="s">
        <v>433</v>
      </c>
      <c r="E468" s="80"/>
      <c r="F468" s="18">
        <f>F193</f>
        <v>4170347</v>
      </c>
      <c r="G468" s="18">
        <f>G193</f>
        <v>132943</v>
      </c>
      <c r="H468" s="18">
        <v>87309</v>
      </c>
      <c r="I468" s="18"/>
      <c r="J468" s="18">
        <v>11</v>
      </c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3" t="s">
        <v>615</v>
      </c>
      <c r="B469" s="75">
        <v>19</v>
      </c>
      <c r="C469" s="80">
        <v>3</v>
      </c>
      <c r="D469" s="2" t="s">
        <v>433</v>
      </c>
      <c r="E469" s="80"/>
      <c r="F469" s="18">
        <v>0</v>
      </c>
      <c r="G469" s="18"/>
      <c r="H469" s="18"/>
      <c r="I469" s="18"/>
      <c r="J469" s="18"/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2" t="s">
        <v>426</v>
      </c>
      <c r="B470" s="75">
        <v>19</v>
      </c>
      <c r="C470" s="80">
        <v>4</v>
      </c>
      <c r="D470" s="2" t="s">
        <v>433</v>
      </c>
      <c r="E470" s="80"/>
      <c r="F470" s="53">
        <f>SUM(F468:F469)</f>
        <v>4170347</v>
      </c>
      <c r="G470" s="53">
        <f>SUM(G468:G469)</f>
        <v>132943</v>
      </c>
      <c r="H470" s="53">
        <f>SUM(H468:H469)</f>
        <v>87309</v>
      </c>
      <c r="I470" s="53">
        <f>SUM(I468:I469)</f>
        <v>0</v>
      </c>
      <c r="J470" s="53">
        <f>SUM(J468:J469)</f>
        <v>11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4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616</v>
      </c>
      <c r="B472" s="75">
        <v>19</v>
      </c>
      <c r="C472" s="80">
        <v>5</v>
      </c>
      <c r="D472" s="2" t="s">
        <v>433</v>
      </c>
      <c r="E472" s="80"/>
      <c r="F472" s="18">
        <f>L271</f>
        <v>4065160</v>
      </c>
      <c r="G472" s="18">
        <f>L362</f>
        <v>124860</v>
      </c>
      <c r="H472" s="18">
        <f>L352</f>
        <v>87309</v>
      </c>
      <c r="I472" s="18"/>
      <c r="J472" s="18"/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3" t="s">
        <v>617</v>
      </c>
      <c r="B473" s="75">
        <v>19</v>
      </c>
      <c r="C473" s="80">
        <v>6</v>
      </c>
      <c r="D473" s="2" t="s">
        <v>433</v>
      </c>
      <c r="E473" s="80"/>
      <c r="F473" s="18"/>
      <c r="G473" s="18"/>
      <c r="H473" s="18"/>
      <c r="I473" s="18"/>
      <c r="J473" s="18"/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92" t="s">
        <v>427</v>
      </c>
      <c r="B474" s="75">
        <v>19</v>
      </c>
      <c r="C474" s="80">
        <v>7</v>
      </c>
      <c r="D474" s="2" t="s">
        <v>433</v>
      </c>
      <c r="E474" s="80"/>
      <c r="F474" s="53">
        <f>SUM(F472:F473)</f>
        <v>4065160</v>
      </c>
      <c r="G474" s="53">
        <f>SUM(G472:G473)</f>
        <v>124860</v>
      </c>
      <c r="H474" s="53">
        <f>SUM(H472:H473)</f>
        <v>87309</v>
      </c>
      <c r="I474" s="53">
        <f>SUM(I472:I473)</f>
        <v>0</v>
      </c>
      <c r="J474" s="53">
        <f>SUM(J472:J473)</f>
        <v>0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190" t="s">
        <v>892</v>
      </c>
      <c r="B476" s="75">
        <v>19</v>
      </c>
      <c r="C476" s="115">
        <v>8</v>
      </c>
      <c r="D476" s="2" t="s">
        <v>433</v>
      </c>
      <c r="E476" s="115"/>
      <c r="F476" s="53">
        <f>(F465+F470)- F474</f>
        <v>414282</v>
      </c>
      <c r="G476" s="53">
        <f>(G465+G470)- G474</f>
        <v>8861</v>
      </c>
      <c r="H476" s="53">
        <f>(H465+H470)- H474</f>
        <v>0</v>
      </c>
      <c r="I476" s="53">
        <f>(I465+I470)- I474</f>
        <v>0</v>
      </c>
      <c r="J476" s="53">
        <f>(J465+J470)- J474</f>
        <v>104437</v>
      </c>
      <c r="K476" s="24" t="s">
        <v>289</v>
      </c>
      <c r="L476" s="24" t="s">
        <v>289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661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699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274"/>
      <c r="B480" s="112"/>
      <c r="C480" s="112"/>
      <c r="D480" s="112"/>
      <c r="E480" s="112"/>
      <c r="F480" s="112"/>
      <c r="G480" s="112"/>
      <c r="H480" s="112"/>
      <c r="I480" s="112" t="s">
        <v>402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654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700</v>
      </c>
      <c r="B482" s="112"/>
      <c r="C482" s="112"/>
      <c r="D482" s="112"/>
      <c r="E482" s="112"/>
      <c r="F482" s="112"/>
      <c r="G482" s="112"/>
      <c r="H482" s="112"/>
      <c r="I482" s="112" t="s">
        <v>474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475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476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893</v>
      </c>
      <c r="B488" s="105"/>
      <c r="C488" s="115"/>
      <c r="D488" s="115"/>
      <c r="E488" s="115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341</v>
      </c>
      <c r="L489" s="116"/>
      <c r="N489" s="271"/>
    </row>
    <row r="490" spans="1:14" s="52" customFormat="1" ht="12" customHeight="1" x14ac:dyDescent="0.2">
      <c r="A490" s="22" t="s">
        <v>618</v>
      </c>
      <c r="B490" s="75">
        <v>20</v>
      </c>
      <c r="C490" s="115">
        <v>1</v>
      </c>
      <c r="D490" s="2" t="s">
        <v>433</v>
      </c>
      <c r="E490" s="115"/>
      <c r="F490" s="154"/>
      <c r="G490" s="154"/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619</v>
      </c>
      <c r="B491" s="75">
        <v>20</v>
      </c>
      <c r="C491" s="115">
        <v>2</v>
      </c>
      <c r="D491" s="2" t="s">
        <v>433</v>
      </c>
      <c r="E491" s="115"/>
      <c r="F491" s="155"/>
      <c r="G491" s="155"/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620</v>
      </c>
      <c r="B492" s="75">
        <v>20</v>
      </c>
      <c r="C492" s="115">
        <v>3</v>
      </c>
      <c r="D492" s="2" t="s">
        <v>433</v>
      </c>
      <c r="E492" s="115"/>
      <c r="F492" s="155"/>
      <c r="G492" s="155"/>
      <c r="H492" s="154"/>
      <c r="I492" s="154"/>
      <c r="J492" s="154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621</v>
      </c>
      <c r="B493" s="75">
        <v>20</v>
      </c>
      <c r="C493" s="115">
        <v>4</v>
      </c>
      <c r="D493" s="2" t="s">
        <v>433</v>
      </c>
      <c r="E493" s="115"/>
      <c r="F493" s="18"/>
      <c r="G493" s="18"/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622</v>
      </c>
      <c r="B494" s="75">
        <v>20</v>
      </c>
      <c r="C494" s="115">
        <v>5</v>
      </c>
      <c r="D494" s="2" t="s">
        <v>433</v>
      </c>
      <c r="E494" s="115"/>
      <c r="F494" s="18"/>
      <c r="G494" s="18"/>
      <c r="H494" s="18"/>
      <c r="I494" s="18"/>
      <c r="J494" s="18"/>
      <c r="K494" s="24" t="s">
        <v>289</v>
      </c>
      <c r="L494" s="24" t="s">
        <v>289</v>
      </c>
      <c r="N494" s="271"/>
    </row>
    <row r="495" spans="1:14" s="52" customFormat="1" ht="12" customHeight="1" x14ac:dyDescent="0.2">
      <c r="A495" s="22" t="s">
        <v>623</v>
      </c>
      <c r="B495" s="75">
        <v>20</v>
      </c>
      <c r="C495" s="115">
        <v>6</v>
      </c>
      <c r="D495" s="2" t="s">
        <v>433</v>
      </c>
      <c r="E495" s="115"/>
      <c r="F495" s="18"/>
      <c r="G495" s="18"/>
      <c r="H495" s="18"/>
      <c r="I495" s="18"/>
      <c r="J495" s="18"/>
      <c r="K495" s="53">
        <f>SUM(F495:J495)</f>
        <v>0</v>
      </c>
      <c r="L495" s="24" t="s">
        <v>289</v>
      </c>
      <c r="N495" s="271"/>
    </row>
    <row r="496" spans="1:14" s="52" customFormat="1" ht="12" customHeight="1" x14ac:dyDescent="0.2">
      <c r="A496" s="22" t="s">
        <v>624</v>
      </c>
      <c r="B496" s="75">
        <v>20</v>
      </c>
      <c r="C496" s="115">
        <v>7</v>
      </c>
      <c r="D496" s="2" t="s">
        <v>433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289</v>
      </c>
      <c r="N496" s="271"/>
    </row>
    <row r="497" spans="1:14" s="52" customFormat="1" ht="12" customHeight="1" x14ac:dyDescent="0.2">
      <c r="A497" s="22" t="s">
        <v>625</v>
      </c>
      <c r="B497" s="75">
        <v>20</v>
      </c>
      <c r="C497" s="115">
        <v>8</v>
      </c>
      <c r="D497" s="2" t="s">
        <v>433</v>
      </c>
      <c r="E497" s="115"/>
      <c r="F497" s="18"/>
      <c r="G497" s="18"/>
      <c r="H497" s="18"/>
      <c r="I497" s="18"/>
      <c r="J497" s="18"/>
      <c r="K497" s="53">
        <f t="shared" si="35"/>
        <v>0</v>
      </c>
      <c r="L497" s="24" t="s">
        <v>289</v>
      </c>
      <c r="N497" s="271"/>
    </row>
    <row r="498" spans="1:14" s="52" customFormat="1" ht="12" customHeight="1" x14ac:dyDescent="0.2">
      <c r="A498" s="200" t="s">
        <v>626</v>
      </c>
      <c r="B498" s="201">
        <v>20</v>
      </c>
      <c r="C498" s="202">
        <v>9</v>
      </c>
      <c r="D498" s="203" t="s">
        <v>433</v>
      </c>
      <c r="E498" s="202"/>
      <c r="F498" s="204"/>
      <c r="G498" s="204"/>
      <c r="H498" s="204"/>
      <c r="I498" s="204"/>
      <c r="J498" s="204"/>
      <c r="K498" s="205">
        <f t="shared" si="35"/>
        <v>0</v>
      </c>
      <c r="L498" s="206" t="s">
        <v>289</v>
      </c>
      <c r="N498" s="271"/>
    </row>
    <row r="499" spans="1:14" s="52" customFormat="1" ht="12" customHeight="1" thickBot="1" x14ac:dyDescent="0.25">
      <c r="A499" s="22" t="s">
        <v>627</v>
      </c>
      <c r="B499" s="75">
        <v>20</v>
      </c>
      <c r="C499" s="115">
        <v>10</v>
      </c>
      <c r="D499" s="2" t="s">
        <v>433</v>
      </c>
      <c r="E499" s="115"/>
      <c r="F499" s="18"/>
      <c r="G499" s="18"/>
      <c r="H499" s="18"/>
      <c r="I499" s="18"/>
      <c r="J499" s="18"/>
      <c r="K499" s="53">
        <f t="shared" si="35"/>
        <v>0</v>
      </c>
      <c r="L499" s="24" t="s">
        <v>289</v>
      </c>
      <c r="N499" s="271"/>
    </row>
    <row r="500" spans="1:14" s="52" customFormat="1" ht="12" customHeight="1" thickTop="1" x14ac:dyDescent="0.2">
      <c r="A500" s="139" t="s">
        <v>628</v>
      </c>
      <c r="B500" s="44">
        <v>20</v>
      </c>
      <c r="C500" s="195">
        <v>11</v>
      </c>
      <c r="D500" s="39" t="s">
        <v>433</v>
      </c>
      <c r="E500" s="195"/>
      <c r="F500" s="42">
        <f>SUM(F498:F499)</f>
        <v>0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0</v>
      </c>
      <c r="L500" s="45" t="s">
        <v>289</v>
      </c>
      <c r="N500" s="271"/>
    </row>
    <row r="501" spans="1:14" s="52" customFormat="1" ht="12" customHeight="1" x14ac:dyDescent="0.2">
      <c r="A501" s="200" t="s">
        <v>655</v>
      </c>
      <c r="B501" s="201">
        <v>20</v>
      </c>
      <c r="C501" s="202">
        <v>12</v>
      </c>
      <c r="D501" s="203" t="s">
        <v>433</v>
      </c>
      <c r="E501" s="202"/>
      <c r="F501" s="204"/>
      <c r="G501" s="204"/>
      <c r="H501" s="204"/>
      <c r="I501" s="204"/>
      <c r="J501" s="204"/>
      <c r="K501" s="205">
        <f t="shared" si="35"/>
        <v>0</v>
      </c>
      <c r="L501" s="206" t="s">
        <v>289</v>
      </c>
      <c r="N501" s="271"/>
    </row>
    <row r="502" spans="1:14" s="52" customFormat="1" ht="12" customHeight="1" thickBot="1" x14ac:dyDescent="0.25">
      <c r="A502" s="22" t="s">
        <v>629</v>
      </c>
      <c r="B502" s="75">
        <v>20</v>
      </c>
      <c r="C502" s="115">
        <v>13</v>
      </c>
      <c r="D502" s="2" t="s">
        <v>433</v>
      </c>
      <c r="E502" s="115"/>
      <c r="F502" s="18"/>
      <c r="G502" s="18"/>
      <c r="H502" s="18"/>
      <c r="I502" s="18"/>
      <c r="J502" s="18"/>
      <c r="K502" s="53">
        <f t="shared" si="35"/>
        <v>0</v>
      </c>
      <c r="L502" s="24" t="s">
        <v>289</v>
      </c>
      <c r="N502" s="271"/>
    </row>
    <row r="503" spans="1:14" s="52" customFormat="1" ht="12" customHeight="1" thickTop="1" x14ac:dyDescent="0.2">
      <c r="A503" s="139" t="s">
        <v>630</v>
      </c>
      <c r="B503" s="44">
        <v>20</v>
      </c>
      <c r="C503" s="195">
        <v>14</v>
      </c>
      <c r="D503" s="39" t="s">
        <v>433</v>
      </c>
      <c r="E503" s="195"/>
      <c r="F503" s="42">
        <f>SUM(F501:F502)</f>
        <v>0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0</v>
      </c>
      <c r="L503" s="45" t="s">
        <v>289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433</v>
      </c>
      <c r="E507" s="115"/>
      <c r="F507" s="144"/>
      <c r="G507" s="144"/>
      <c r="H507" s="144"/>
      <c r="I507" s="144"/>
      <c r="J507" s="24" t="s">
        <v>289</v>
      </c>
      <c r="K507" s="24" t="s">
        <v>289</v>
      </c>
      <c r="L507" s="24" t="s">
        <v>289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894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631</v>
      </c>
      <c r="B511" s="75">
        <v>20</v>
      </c>
      <c r="C511" s="115">
        <v>16</v>
      </c>
      <c r="D511" s="2" t="s">
        <v>433</v>
      </c>
      <c r="E511" s="115">
        <v>210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632</v>
      </c>
      <c r="B512" s="75">
        <v>20</v>
      </c>
      <c r="C512" s="115">
        <v>17</v>
      </c>
      <c r="D512" s="2" t="s">
        <v>433</v>
      </c>
      <c r="E512" s="115">
        <v>220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633</v>
      </c>
      <c r="B513" s="75">
        <v>20</v>
      </c>
      <c r="C513" s="115">
        <v>18</v>
      </c>
      <c r="D513" s="2" t="s">
        <v>433</v>
      </c>
      <c r="E513" s="115">
        <v>230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634</v>
      </c>
      <c r="B514" s="75">
        <v>20</v>
      </c>
      <c r="C514" s="115">
        <v>19</v>
      </c>
      <c r="D514" s="2" t="s">
        <v>433</v>
      </c>
      <c r="E514" s="115">
        <v>240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x14ac:dyDescent="0.2">
      <c r="A515" s="22" t="s">
        <v>635</v>
      </c>
      <c r="B515" s="75">
        <v>20</v>
      </c>
      <c r="C515" s="115">
        <v>20</v>
      </c>
      <c r="D515" s="2" t="s">
        <v>433</v>
      </c>
      <c r="E515" s="115">
        <v>250</v>
      </c>
      <c r="F515" s="18"/>
      <c r="G515" s="24" t="s">
        <v>289</v>
      </c>
      <c r="H515" s="18"/>
      <c r="I515" s="24" t="s">
        <v>289</v>
      </c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Bot="1" x14ac:dyDescent="0.25">
      <c r="A516" s="22" t="s">
        <v>636</v>
      </c>
      <c r="B516" s="75">
        <v>20</v>
      </c>
      <c r="C516" s="115">
        <v>21</v>
      </c>
      <c r="D516" s="2" t="s">
        <v>433</v>
      </c>
      <c r="E516" s="115">
        <v>710</v>
      </c>
      <c r="F516" s="24" t="s">
        <v>289</v>
      </c>
      <c r="G516" s="18"/>
      <c r="H516" s="24" t="s">
        <v>289</v>
      </c>
      <c r="I516" s="18"/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thickTop="1" x14ac:dyDescent="0.2">
      <c r="A517" s="96" t="s">
        <v>428</v>
      </c>
      <c r="B517" s="75">
        <v>20</v>
      </c>
      <c r="C517" s="115">
        <v>22</v>
      </c>
      <c r="D517" s="2" t="s">
        <v>433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289</v>
      </c>
      <c r="K517" s="24" t="s">
        <v>289</v>
      </c>
      <c r="L517" s="24" t="s">
        <v>289</v>
      </c>
      <c r="N517" s="271"/>
    </row>
    <row r="518" spans="1:14" s="52" customFormat="1" ht="12" customHeight="1" x14ac:dyDescent="0.2">
      <c r="A518" s="96" t="s">
        <v>702</v>
      </c>
      <c r="B518" s="105"/>
      <c r="C518" s="115"/>
      <c r="D518" s="115"/>
      <c r="E518" s="115"/>
      <c r="F518" s="177" t="s">
        <v>693</v>
      </c>
      <c r="G518" s="177" t="s">
        <v>694</v>
      </c>
      <c r="H518" s="177" t="s">
        <v>695</v>
      </c>
      <c r="I518" s="177" t="s">
        <v>696</v>
      </c>
      <c r="J518" s="177" t="s">
        <v>697</v>
      </c>
      <c r="K518" s="177" t="s">
        <v>698</v>
      </c>
      <c r="L518" s="106"/>
      <c r="N518" s="271"/>
    </row>
    <row r="519" spans="1:14" s="52" customFormat="1" ht="12" customHeight="1" x14ac:dyDescent="0.2">
      <c r="A519" s="178" t="s">
        <v>701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71"/>
    </row>
    <row r="521" spans="1:14" s="52" customFormat="1" ht="12" customHeight="1" x14ac:dyDescent="0.2">
      <c r="A521" s="22" t="s">
        <v>637</v>
      </c>
      <c r="B521" s="105">
        <v>21</v>
      </c>
      <c r="C521" s="115">
        <v>1</v>
      </c>
      <c r="D521" s="2" t="s">
        <v>433</v>
      </c>
      <c r="E521" s="115"/>
      <c r="F521" s="302">
        <v>230931</v>
      </c>
      <c r="G521" s="302">
        <v>93241</v>
      </c>
      <c r="H521" s="302">
        <v>56351</v>
      </c>
      <c r="I521" s="302">
        <v>2427</v>
      </c>
      <c r="J521" s="302"/>
      <c r="K521" s="302">
        <v>635</v>
      </c>
      <c r="L521" s="88">
        <f>SUM(F521:K521)</f>
        <v>383585</v>
      </c>
      <c r="N521" s="271"/>
    </row>
    <row r="522" spans="1:14" s="52" customFormat="1" ht="12" customHeight="1" x14ac:dyDescent="0.2">
      <c r="A522" s="22" t="s">
        <v>638</v>
      </c>
      <c r="B522" s="105">
        <v>21</v>
      </c>
      <c r="C522" s="115">
        <v>2</v>
      </c>
      <c r="D522" s="2" t="s">
        <v>433</v>
      </c>
      <c r="E522" s="115"/>
      <c r="F522" s="302"/>
      <c r="G522" s="302"/>
      <c r="H522" s="302"/>
      <c r="I522" s="302"/>
      <c r="J522" s="302"/>
      <c r="K522" s="302"/>
      <c r="L522" s="88">
        <f>SUM(F522:K522)</f>
        <v>0</v>
      </c>
      <c r="N522" s="271"/>
    </row>
    <row r="523" spans="1:14" s="52" customFormat="1" ht="12" customHeight="1" thickBot="1" x14ac:dyDescent="0.25">
      <c r="A523" s="22" t="s">
        <v>639</v>
      </c>
      <c r="B523" s="105">
        <v>21</v>
      </c>
      <c r="C523" s="115">
        <v>3</v>
      </c>
      <c r="D523" s="2" t="s">
        <v>433</v>
      </c>
      <c r="E523" s="115"/>
      <c r="F523" s="302"/>
      <c r="G523" s="302"/>
      <c r="H523" s="302">
        <v>140682</v>
      </c>
      <c r="I523" s="302"/>
      <c r="J523" s="302"/>
      <c r="K523" s="302"/>
      <c r="L523" s="88">
        <f>SUM(F523:K523)</f>
        <v>140682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433</v>
      </c>
      <c r="E524" s="195"/>
      <c r="F524" s="108">
        <f>SUM(F521:F523)</f>
        <v>230931</v>
      </c>
      <c r="G524" s="108">
        <f t="shared" ref="G524:L524" si="36">SUM(G521:G523)</f>
        <v>93241</v>
      </c>
      <c r="H524" s="108">
        <f t="shared" si="36"/>
        <v>197033</v>
      </c>
      <c r="I524" s="108">
        <f t="shared" si="36"/>
        <v>2427</v>
      </c>
      <c r="J524" s="108">
        <f t="shared" si="36"/>
        <v>0</v>
      </c>
      <c r="K524" s="108">
        <f t="shared" si="36"/>
        <v>635</v>
      </c>
      <c r="L524" s="89">
        <f t="shared" si="36"/>
        <v>524267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71"/>
    </row>
    <row r="526" spans="1:14" s="3" customFormat="1" ht="12" customHeight="1" x14ac:dyDescent="0.15">
      <c r="A526" s="22" t="s">
        <v>637</v>
      </c>
      <c r="B526" s="105">
        <v>21</v>
      </c>
      <c r="C526" s="115">
        <v>5</v>
      </c>
      <c r="D526" s="2" t="s">
        <v>433</v>
      </c>
      <c r="E526" s="115"/>
      <c r="F526" s="18"/>
      <c r="G526" s="18"/>
      <c r="H526" s="303">
        <v>97485</v>
      </c>
      <c r="I526" s="18"/>
      <c r="J526" s="18"/>
      <c r="K526" s="18"/>
      <c r="L526" s="88">
        <f>SUM(F526:K526)</f>
        <v>97485</v>
      </c>
      <c r="M526" s="8"/>
      <c r="N526" s="272"/>
    </row>
    <row r="527" spans="1:14" s="3" customFormat="1" ht="12" customHeight="1" x14ac:dyDescent="0.15">
      <c r="A527" s="22" t="s">
        <v>638</v>
      </c>
      <c r="B527" s="105">
        <v>21</v>
      </c>
      <c r="C527" s="115">
        <v>6</v>
      </c>
      <c r="D527" s="2" t="s">
        <v>433</v>
      </c>
      <c r="E527" s="11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" customHeight="1" thickBot="1" x14ac:dyDescent="0.2">
      <c r="A528" s="22" t="s">
        <v>639</v>
      </c>
      <c r="B528" s="118">
        <v>21</v>
      </c>
      <c r="C528" s="118">
        <v>7</v>
      </c>
      <c r="D528" s="2" t="s">
        <v>433</v>
      </c>
      <c r="E528" s="118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433</v>
      </c>
      <c r="E529" s="107"/>
      <c r="F529" s="89">
        <f>SUM(F526:F528)</f>
        <v>0</v>
      </c>
      <c r="G529" s="89">
        <f t="shared" ref="G529:L529" si="37">SUM(G526:G528)</f>
        <v>0</v>
      </c>
      <c r="H529" s="89">
        <f t="shared" si="37"/>
        <v>97485</v>
      </c>
      <c r="I529" s="89">
        <f t="shared" si="37"/>
        <v>0</v>
      </c>
      <c r="J529" s="89">
        <f t="shared" si="37"/>
        <v>0</v>
      </c>
      <c r="K529" s="89">
        <f t="shared" si="37"/>
        <v>0</v>
      </c>
      <c r="L529" s="89">
        <f t="shared" si="37"/>
        <v>97485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72"/>
    </row>
    <row r="531" spans="1:14" s="3" customFormat="1" ht="12" customHeight="1" x14ac:dyDescent="0.15">
      <c r="A531" s="22" t="s">
        <v>637</v>
      </c>
      <c r="B531" s="105">
        <v>21</v>
      </c>
      <c r="C531" s="105">
        <v>9</v>
      </c>
      <c r="D531" s="2" t="s">
        <v>433</v>
      </c>
      <c r="E531" s="105"/>
      <c r="F531" s="18"/>
      <c r="G531" s="18"/>
      <c r="H531" s="18"/>
      <c r="I531" s="18"/>
      <c r="J531" s="18"/>
      <c r="K531" s="18"/>
      <c r="L531" s="88">
        <f>SUM(F531:K531)</f>
        <v>0</v>
      </c>
      <c r="M531" s="8"/>
      <c r="N531" s="272"/>
    </row>
    <row r="532" spans="1:14" s="3" customFormat="1" ht="12" customHeight="1" x14ac:dyDescent="0.15">
      <c r="A532" s="22" t="s">
        <v>638</v>
      </c>
      <c r="B532" s="105">
        <v>21</v>
      </c>
      <c r="C532" s="105">
        <v>10</v>
      </c>
      <c r="D532" s="2" t="s">
        <v>433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" customHeight="1" thickBot="1" x14ac:dyDescent="0.2">
      <c r="A533" s="22" t="s">
        <v>639</v>
      </c>
      <c r="B533" s="105">
        <v>21</v>
      </c>
      <c r="C533" s="105">
        <v>11</v>
      </c>
      <c r="D533" s="2" t="s">
        <v>433</v>
      </c>
      <c r="E533" s="105"/>
      <c r="F533" s="18"/>
      <c r="G533" s="18"/>
      <c r="H533" s="18"/>
      <c r="I533" s="18"/>
      <c r="J533" s="18"/>
      <c r="K533" s="18"/>
      <c r="L533" s="88">
        <f>SUM(F533:K533)</f>
        <v>0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433</v>
      </c>
      <c r="E534" s="107"/>
      <c r="F534" s="89">
        <f>SUM(F531:F533)</f>
        <v>0</v>
      </c>
      <c r="G534" s="89">
        <f t="shared" ref="G534:L534" si="38">SUM(G531:G533)</f>
        <v>0</v>
      </c>
      <c r="H534" s="89">
        <f t="shared" si="38"/>
        <v>0</v>
      </c>
      <c r="I534" s="89">
        <f t="shared" si="38"/>
        <v>0</v>
      </c>
      <c r="J534" s="89">
        <f t="shared" si="38"/>
        <v>0</v>
      </c>
      <c r="K534" s="89">
        <f t="shared" si="38"/>
        <v>0</v>
      </c>
      <c r="L534" s="89">
        <f t="shared" si="38"/>
        <v>0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289</v>
      </c>
      <c r="G535" s="194" t="s">
        <v>289</v>
      </c>
      <c r="H535" s="194" t="s">
        <v>289</v>
      </c>
      <c r="I535" s="194" t="s">
        <v>289</v>
      </c>
      <c r="J535" s="194" t="s">
        <v>289</v>
      </c>
      <c r="K535" s="194" t="s">
        <v>289</v>
      </c>
      <c r="L535" s="194" t="s">
        <v>289</v>
      </c>
      <c r="M535" s="8"/>
      <c r="N535" s="272"/>
    </row>
    <row r="536" spans="1:14" s="3" customFormat="1" ht="12" customHeight="1" x14ac:dyDescent="0.15">
      <c r="A536" s="22" t="s">
        <v>637</v>
      </c>
      <c r="B536" s="105">
        <v>21</v>
      </c>
      <c r="C536" s="105">
        <v>13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" customHeight="1" x14ac:dyDescent="0.15">
      <c r="A537" s="22" t="s">
        <v>638</v>
      </c>
      <c r="B537" s="105">
        <v>21</v>
      </c>
      <c r="C537" s="105">
        <v>14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Bot="1" x14ac:dyDescent="0.2">
      <c r="A538" s="22" t="s">
        <v>639</v>
      </c>
      <c r="B538" s="105">
        <v>21</v>
      </c>
      <c r="C538" s="105">
        <v>15</v>
      </c>
      <c r="D538" s="2" t="s">
        <v>433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433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0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0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72"/>
    </row>
    <row r="541" spans="1:14" s="3" customFormat="1" ht="12" customHeight="1" x14ac:dyDescent="0.15">
      <c r="A541" s="22" t="s">
        <v>637</v>
      </c>
      <c r="B541" s="105">
        <v>21</v>
      </c>
      <c r="C541" s="105">
        <v>17</v>
      </c>
      <c r="D541" s="2" t="s">
        <v>433</v>
      </c>
      <c r="E541" s="105"/>
      <c r="F541" s="18"/>
      <c r="G541" s="18"/>
      <c r="H541" s="304">
        <v>46899</v>
      </c>
      <c r="I541" s="18"/>
      <c r="J541" s="18"/>
      <c r="K541" s="18"/>
      <c r="L541" s="88">
        <f>SUM(F541:K541)</f>
        <v>46899</v>
      </c>
      <c r="M541" s="8"/>
      <c r="N541" s="272"/>
    </row>
    <row r="542" spans="1:14" s="3" customFormat="1" ht="12" customHeight="1" x14ac:dyDescent="0.15">
      <c r="A542" s="22" t="s">
        <v>638</v>
      </c>
      <c r="B542" s="105">
        <v>21</v>
      </c>
      <c r="C542" s="105">
        <v>18</v>
      </c>
      <c r="D542" s="2" t="s">
        <v>433</v>
      </c>
      <c r="E542" s="105"/>
      <c r="F542" s="18"/>
      <c r="G542" s="18"/>
      <c r="H542" s="304">
        <v>15531</v>
      </c>
      <c r="I542" s="18"/>
      <c r="J542" s="18"/>
      <c r="K542" s="18"/>
      <c r="L542" s="88">
        <f>SUM(F542:K542)</f>
        <v>15531</v>
      </c>
      <c r="M542" s="8"/>
      <c r="N542" s="272"/>
    </row>
    <row r="543" spans="1:14" s="3" customFormat="1" ht="12" customHeight="1" thickBot="1" x14ac:dyDescent="0.2">
      <c r="A543" s="22" t="s">
        <v>639</v>
      </c>
      <c r="B543" s="105">
        <v>21</v>
      </c>
      <c r="C543" s="105">
        <v>19</v>
      </c>
      <c r="D543" s="2" t="s">
        <v>433</v>
      </c>
      <c r="E543" s="105"/>
      <c r="F543" s="18"/>
      <c r="G543" s="18"/>
      <c r="H543" s="18"/>
      <c r="I543" s="18"/>
      <c r="J543" s="18"/>
      <c r="K543" s="18"/>
      <c r="L543" s="88">
        <f>SUM(F543:K543)</f>
        <v>0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433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62430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62430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433</v>
      </c>
      <c r="E545" s="107"/>
      <c r="F545" s="89">
        <f>F524+F529+F534+F539+F544</f>
        <v>230931</v>
      </c>
      <c r="G545" s="89">
        <f t="shared" ref="G545:L545" si="41">G524+G529+G534+G539+G544</f>
        <v>93241</v>
      </c>
      <c r="H545" s="89">
        <f t="shared" si="41"/>
        <v>356948</v>
      </c>
      <c r="I545" s="89">
        <f t="shared" si="41"/>
        <v>2427</v>
      </c>
      <c r="J545" s="89">
        <f t="shared" si="41"/>
        <v>0</v>
      </c>
      <c r="K545" s="89">
        <f t="shared" si="41"/>
        <v>635</v>
      </c>
      <c r="L545" s="89">
        <f t="shared" si="41"/>
        <v>684182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289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289</v>
      </c>
      <c r="M548" s="8"/>
      <c r="N548" s="272"/>
    </row>
    <row r="549" spans="1:14" s="3" customFormat="1" ht="12" customHeight="1" x14ac:dyDescent="0.15">
      <c r="A549" s="22" t="s">
        <v>637</v>
      </c>
      <c r="B549" s="75">
        <v>21</v>
      </c>
      <c r="C549" s="75">
        <v>22</v>
      </c>
      <c r="D549" s="2" t="s">
        <v>433</v>
      </c>
      <c r="E549" s="75"/>
      <c r="F549" s="87">
        <f>L521</f>
        <v>383585</v>
      </c>
      <c r="G549" s="87">
        <f>L526</f>
        <v>97485</v>
      </c>
      <c r="H549" s="87">
        <f>L531</f>
        <v>0</v>
      </c>
      <c r="I549" s="87">
        <f>L536</f>
        <v>0</v>
      </c>
      <c r="J549" s="87">
        <f>L541</f>
        <v>46899</v>
      </c>
      <c r="K549" s="87">
        <f>SUM(F549:J549)</f>
        <v>527969</v>
      </c>
      <c r="L549" s="24" t="s">
        <v>289</v>
      </c>
      <c r="M549" s="8"/>
      <c r="N549" s="272"/>
    </row>
    <row r="550" spans="1:14" s="3" customFormat="1" ht="12" customHeight="1" x14ac:dyDescent="0.15">
      <c r="A550" s="22" t="s">
        <v>638</v>
      </c>
      <c r="B550" s="75">
        <v>21</v>
      </c>
      <c r="C550" s="75">
        <v>23</v>
      </c>
      <c r="D550" s="2" t="s">
        <v>433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15531</v>
      </c>
      <c r="K550" s="87">
        <f>SUM(F550:J550)</f>
        <v>15531</v>
      </c>
      <c r="L550" s="24" t="s">
        <v>289</v>
      </c>
      <c r="M550" s="8"/>
      <c r="N550" s="272"/>
    </row>
    <row r="551" spans="1:14" s="3" customFormat="1" ht="12" customHeight="1" thickBot="1" x14ac:dyDescent="0.2">
      <c r="A551" s="22" t="s">
        <v>639</v>
      </c>
      <c r="B551" s="75">
        <v>21</v>
      </c>
      <c r="C551" s="75">
        <v>24</v>
      </c>
      <c r="D551" s="2" t="s">
        <v>433</v>
      </c>
      <c r="E551" s="75"/>
      <c r="F551" s="87">
        <f>L523</f>
        <v>140682</v>
      </c>
      <c r="G551" s="87">
        <f>L528</f>
        <v>0</v>
      </c>
      <c r="H551" s="87">
        <f>L533</f>
        <v>0</v>
      </c>
      <c r="I551" s="87">
        <f>L538</f>
        <v>0</v>
      </c>
      <c r="J551" s="87">
        <f>L543</f>
        <v>0</v>
      </c>
      <c r="K551" s="87">
        <f>SUM(F551:J551)</f>
        <v>140682</v>
      </c>
      <c r="L551" s="24" t="s">
        <v>289</v>
      </c>
      <c r="M551" s="8"/>
      <c r="N551" s="272"/>
    </row>
    <row r="552" spans="1:14" s="3" customFormat="1" ht="12" customHeight="1" thickTop="1" x14ac:dyDescent="0.15">
      <c r="A552" s="172" t="s">
        <v>341</v>
      </c>
      <c r="B552" s="44">
        <v>21</v>
      </c>
      <c r="C552" s="44">
        <v>25</v>
      </c>
      <c r="D552" s="39" t="s">
        <v>433</v>
      </c>
      <c r="E552" s="44"/>
      <c r="F552" s="89">
        <f t="shared" ref="F552:K552" si="42">SUM(F549:F551)</f>
        <v>524267</v>
      </c>
      <c r="G552" s="89">
        <f t="shared" si="42"/>
        <v>97485</v>
      </c>
      <c r="H552" s="89">
        <f t="shared" si="42"/>
        <v>0</v>
      </c>
      <c r="I552" s="89">
        <f t="shared" si="42"/>
        <v>0</v>
      </c>
      <c r="J552" s="89">
        <f t="shared" si="42"/>
        <v>62430</v>
      </c>
      <c r="K552" s="89">
        <f t="shared" si="42"/>
        <v>684182</v>
      </c>
      <c r="L552" s="24"/>
      <c r="M552" s="8"/>
      <c r="N552" s="272"/>
    </row>
    <row r="553" spans="1:14" s="3" customFormat="1" ht="12" customHeight="1" x14ac:dyDescent="0.15">
      <c r="A553" s="96" t="s">
        <v>583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693</v>
      </c>
      <c r="G554" s="177" t="s">
        <v>694</v>
      </c>
      <c r="H554" s="177" t="s">
        <v>695</v>
      </c>
      <c r="I554" s="177" t="s">
        <v>696</v>
      </c>
      <c r="J554" s="177" t="s">
        <v>697</v>
      </c>
      <c r="K554" s="177" t="s">
        <v>698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72"/>
    </row>
    <row r="557" spans="1:14" s="3" customFormat="1" ht="12" customHeight="1" x14ac:dyDescent="0.15">
      <c r="A557" s="22" t="s">
        <v>637</v>
      </c>
      <c r="B557" s="105">
        <v>22</v>
      </c>
      <c r="C557" s="115">
        <v>1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638</v>
      </c>
      <c r="B558" s="105">
        <v>22</v>
      </c>
      <c r="C558" s="115">
        <v>2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639</v>
      </c>
      <c r="B559" s="105">
        <v>22</v>
      </c>
      <c r="C559" s="115">
        <v>3</v>
      </c>
      <c r="D559" s="2" t="s">
        <v>433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433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72"/>
    </row>
    <row r="562" spans="1:14" s="3" customFormat="1" ht="12" customHeight="1" x14ac:dyDescent="0.15">
      <c r="A562" s="22" t="s">
        <v>637</v>
      </c>
      <c r="B562" s="105">
        <v>22</v>
      </c>
      <c r="C562" s="115">
        <v>5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x14ac:dyDescent="0.15">
      <c r="A563" s="22" t="s">
        <v>638</v>
      </c>
      <c r="B563" s="105">
        <v>22</v>
      </c>
      <c r="C563" s="115">
        <v>6</v>
      </c>
      <c r="D563" s="2" t="s">
        <v>433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639</v>
      </c>
      <c r="B564" s="105">
        <v>22</v>
      </c>
      <c r="C564" s="118">
        <v>7</v>
      </c>
      <c r="D564" s="2" t="s">
        <v>433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433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72"/>
    </row>
    <row r="567" spans="1:14" s="3" customFormat="1" ht="12" customHeight="1" x14ac:dyDescent="0.15">
      <c r="A567" s="22" t="s">
        <v>637</v>
      </c>
      <c r="B567" s="105">
        <v>22</v>
      </c>
      <c r="C567" s="105">
        <v>9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638</v>
      </c>
      <c r="B568" s="105">
        <v>22</v>
      </c>
      <c r="C568" s="105">
        <v>10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639</v>
      </c>
      <c r="B569" s="105">
        <v>22</v>
      </c>
      <c r="C569" s="105">
        <v>11</v>
      </c>
      <c r="D569" s="2" t="s">
        <v>433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433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433</v>
      </c>
      <c r="E571" s="107"/>
      <c r="F571" s="89">
        <f>F560+F565+F570</f>
        <v>0</v>
      </c>
      <c r="G571" s="89">
        <f t="shared" ref="G571:L571" si="46">G560+G565+G570</f>
        <v>0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0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775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673</v>
      </c>
      <c r="B575" s="75">
        <v>22</v>
      </c>
      <c r="C575" s="75">
        <v>14</v>
      </c>
      <c r="D575" s="2" t="s">
        <v>433</v>
      </c>
      <c r="E575" s="75">
        <v>561</v>
      </c>
      <c r="F575" s="18"/>
      <c r="G575" s="18"/>
      <c r="H575" s="305">
        <v>774745</v>
      </c>
      <c r="I575" s="87">
        <f>SUM(F575:H575)</f>
        <v>774745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674</v>
      </c>
      <c r="B576" s="75">
        <v>22</v>
      </c>
      <c r="C576" s="75">
        <v>15</v>
      </c>
      <c r="D576" s="2" t="s">
        <v>433</v>
      </c>
      <c r="E576" s="75">
        <v>562</v>
      </c>
      <c r="F576" s="18"/>
      <c r="G576" s="18"/>
      <c r="H576" s="305"/>
      <c r="I576" s="87">
        <f t="shared" ref="I576:I587" si="47">SUM(F576:H576)</f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744</v>
      </c>
      <c r="B577" s="75">
        <v>22</v>
      </c>
      <c r="C577" s="75">
        <v>16</v>
      </c>
      <c r="D577" s="2" t="s">
        <v>433</v>
      </c>
      <c r="E577" s="75">
        <v>563</v>
      </c>
      <c r="F577" s="24" t="s">
        <v>289</v>
      </c>
      <c r="G577" s="24" t="s">
        <v>289</v>
      </c>
      <c r="H577" s="305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678</v>
      </c>
      <c r="B578" s="75">
        <v>22</v>
      </c>
      <c r="C578" s="75">
        <v>17</v>
      </c>
      <c r="D578" s="2" t="s">
        <v>433</v>
      </c>
      <c r="E578" s="75">
        <v>564</v>
      </c>
      <c r="F578" s="18"/>
      <c r="G578" s="18"/>
      <c r="H578" s="305"/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675</v>
      </c>
      <c r="B579" s="75">
        <v>22</v>
      </c>
      <c r="C579" s="75">
        <v>18</v>
      </c>
      <c r="D579" s="2" t="s">
        <v>433</v>
      </c>
      <c r="E579" s="75">
        <v>561</v>
      </c>
      <c r="F579" s="306">
        <v>55694</v>
      </c>
      <c r="G579" s="18"/>
      <c r="H579" s="305">
        <v>140682</v>
      </c>
      <c r="I579" s="87">
        <f t="shared" si="47"/>
        <v>196376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99" t="s">
        <v>676</v>
      </c>
      <c r="B580" s="75">
        <v>22</v>
      </c>
      <c r="C580" s="75">
        <v>19</v>
      </c>
      <c r="D580" s="2" t="s">
        <v>433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745</v>
      </c>
      <c r="B581" s="75">
        <v>22</v>
      </c>
      <c r="C581" s="75">
        <v>20</v>
      </c>
      <c r="D581" s="2" t="s">
        <v>433</v>
      </c>
      <c r="E581" s="75">
        <v>563</v>
      </c>
      <c r="F581" s="24" t="s">
        <v>289</v>
      </c>
      <c r="G581" s="24" t="s">
        <v>289</v>
      </c>
      <c r="H581" s="18"/>
      <c r="I581" s="87">
        <f t="shared" si="47"/>
        <v>0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677</v>
      </c>
      <c r="B582" s="75">
        <v>22</v>
      </c>
      <c r="C582" s="75">
        <v>21</v>
      </c>
      <c r="D582" s="2" t="s">
        <v>433</v>
      </c>
      <c r="E582" s="75">
        <v>564</v>
      </c>
      <c r="F582" s="18"/>
      <c r="G582" s="18"/>
      <c r="H582" s="18"/>
      <c r="I582" s="87">
        <f t="shared" si="47"/>
        <v>0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146" t="s">
        <v>640</v>
      </c>
      <c r="B583" s="75">
        <v>22</v>
      </c>
      <c r="C583" s="75">
        <v>22</v>
      </c>
      <c r="D583" s="2" t="s">
        <v>433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679</v>
      </c>
      <c r="B584" s="75">
        <v>22</v>
      </c>
      <c r="C584" s="75">
        <v>23</v>
      </c>
      <c r="D584" s="2" t="s">
        <v>433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680</v>
      </c>
      <c r="B585" s="75">
        <v>22</v>
      </c>
      <c r="C585" s="75">
        <v>24</v>
      </c>
      <c r="D585" s="2" t="s">
        <v>433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746</v>
      </c>
      <c r="B586" s="75">
        <v>22</v>
      </c>
      <c r="C586" s="75">
        <v>25</v>
      </c>
      <c r="D586" s="2" t="s">
        <v>433</v>
      </c>
      <c r="E586" s="75">
        <v>563</v>
      </c>
      <c r="F586" s="24" t="s">
        <v>289</v>
      </c>
      <c r="G586" s="24" t="s">
        <v>289</v>
      </c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22" t="s">
        <v>681</v>
      </c>
      <c r="B587" s="75">
        <v>22</v>
      </c>
      <c r="C587" s="75">
        <v>26</v>
      </c>
      <c r="D587" s="2" t="s">
        <v>433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289</v>
      </c>
      <c r="K587" s="24" t="s">
        <v>289</v>
      </c>
      <c r="L587" s="24" t="s">
        <v>289</v>
      </c>
      <c r="M587" s="8"/>
      <c r="N587" s="272"/>
    </row>
    <row r="588" spans="1:14" s="3" customFormat="1" ht="12" customHeight="1" x14ac:dyDescent="0.15">
      <c r="A588" s="173" t="s">
        <v>747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658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641</v>
      </c>
      <c r="B591" s="75">
        <v>23</v>
      </c>
      <c r="C591" s="75">
        <v>1</v>
      </c>
      <c r="D591" s="2" t="s">
        <v>433</v>
      </c>
      <c r="E591" s="75"/>
      <c r="F591" s="102">
        <v>2721</v>
      </c>
      <c r="G591" s="103" t="s">
        <v>97</v>
      </c>
      <c r="H591" s="18">
        <f>111134+11014+1</f>
        <v>122149</v>
      </c>
      <c r="I591" s="18"/>
      <c r="J591" s="18">
        <v>129813</v>
      </c>
      <c r="K591" s="104">
        <f t="shared" ref="K591:K597" si="48">SUM(H591:J591)</f>
        <v>251962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642</v>
      </c>
      <c r="B592" s="75">
        <v>23</v>
      </c>
      <c r="C592" s="75">
        <v>2</v>
      </c>
      <c r="D592" s="2" t="s">
        <v>433</v>
      </c>
      <c r="E592" s="75"/>
      <c r="F592" s="102">
        <v>2722</v>
      </c>
      <c r="G592" s="103" t="s">
        <v>97</v>
      </c>
      <c r="H592" s="18">
        <v>46899</v>
      </c>
      <c r="I592" s="18"/>
      <c r="J592" s="18">
        <v>15531</v>
      </c>
      <c r="K592" s="104">
        <f t="shared" si="48"/>
        <v>62430</v>
      </c>
      <c r="L592" s="24" t="s">
        <v>289</v>
      </c>
      <c r="M592" s="8"/>
      <c r="N592" s="272"/>
    </row>
    <row r="593" spans="1:14" s="3" customFormat="1" ht="12" customHeight="1" x14ac:dyDescent="0.15">
      <c r="A593" s="3" t="s">
        <v>643</v>
      </c>
      <c r="B593" s="75">
        <v>23</v>
      </c>
      <c r="C593" s="75">
        <v>3</v>
      </c>
      <c r="D593" s="2" t="s">
        <v>433</v>
      </c>
      <c r="E593" s="75"/>
      <c r="F593" s="102">
        <v>2723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289</v>
      </c>
      <c r="M593" s="8"/>
      <c r="N593" s="272"/>
    </row>
    <row r="594" spans="1:14" s="3" customFormat="1" ht="12" customHeight="1" x14ac:dyDescent="0.15">
      <c r="A594" s="22" t="s">
        <v>644</v>
      </c>
      <c r="B594" s="75">
        <v>23</v>
      </c>
      <c r="C594" s="75">
        <v>4</v>
      </c>
      <c r="D594" s="2" t="s">
        <v>433</v>
      </c>
      <c r="E594" s="75"/>
      <c r="F594" s="102">
        <v>2724</v>
      </c>
      <c r="G594" s="103" t="s">
        <v>97</v>
      </c>
      <c r="H594" s="18">
        <v>4288</v>
      </c>
      <c r="I594" s="18"/>
      <c r="J594" s="18"/>
      <c r="K594" s="104">
        <f t="shared" si="48"/>
        <v>4288</v>
      </c>
      <c r="L594" s="24" t="s">
        <v>289</v>
      </c>
      <c r="M594" s="8"/>
      <c r="N594" s="272"/>
    </row>
    <row r="595" spans="1:14" s="3" customFormat="1" ht="12" customHeight="1" x14ac:dyDescent="0.15">
      <c r="A595" s="171" t="s">
        <v>656</v>
      </c>
      <c r="B595" s="75">
        <v>23</v>
      </c>
      <c r="C595" s="75">
        <v>5</v>
      </c>
      <c r="D595" s="2" t="s">
        <v>433</v>
      </c>
      <c r="E595" s="75"/>
      <c r="F595" s="102">
        <v>2725</v>
      </c>
      <c r="G595" s="103" t="s">
        <v>97</v>
      </c>
      <c r="H595" s="18">
        <v>4264</v>
      </c>
      <c r="I595" s="18"/>
      <c r="J595" s="18"/>
      <c r="K595" s="104">
        <f t="shared" si="48"/>
        <v>4264</v>
      </c>
      <c r="L595" s="24" t="s">
        <v>289</v>
      </c>
      <c r="M595" s="8"/>
      <c r="N595" s="272"/>
    </row>
    <row r="596" spans="1:14" s="3" customFormat="1" ht="12" customHeight="1" x14ac:dyDescent="0.15">
      <c r="A596" s="22" t="s">
        <v>645</v>
      </c>
      <c r="B596" s="75">
        <v>23</v>
      </c>
      <c r="C596" s="75">
        <v>6</v>
      </c>
      <c r="D596" s="2" t="s">
        <v>433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2"/>
    </row>
    <row r="597" spans="1:14" s="3" customFormat="1" ht="12" customHeight="1" thickBot="1" x14ac:dyDescent="0.2">
      <c r="A597" s="3" t="s">
        <v>659</v>
      </c>
      <c r="B597" s="75">
        <v>23</v>
      </c>
      <c r="C597" s="75">
        <v>7</v>
      </c>
      <c r="D597" s="2" t="s">
        <v>433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289</v>
      </c>
      <c r="M597" s="8"/>
      <c r="N597" s="272"/>
    </row>
    <row r="598" spans="1:14" s="3" customFormat="1" ht="12" customHeight="1" thickTop="1" x14ac:dyDescent="0.15">
      <c r="A598" s="98" t="s">
        <v>341</v>
      </c>
      <c r="B598" s="44">
        <v>23</v>
      </c>
      <c r="C598" s="44">
        <v>8</v>
      </c>
      <c r="D598" s="39" t="s">
        <v>433</v>
      </c>
      <c r="E598" s="44"/>
      <c r="F598" s="148">
        <v>2700</v>
      </c>
      <c r="G598" s="149" t="s">
        <v>97</v>
      </c>
      <c r="H598" s="108">
        <f>SUM(H591:H597)</f>
        <v>177600</v>
      </c>
      <c r="I598" s="108">
        <f>SUM(I591:I597)</f>
        <v>0</v>
      </c>
      <c r="J598" s="108">
        <f>SUM(J591:J597)</f>
        <v>145344</v>
      </c>
      <c r="K598" s="108">
        <f>SUM(K591:K597)</f>
        <v>322944</v>
      </c>
      <c r="L598" s="24" t="s">
        <v>289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646</v>
      </c>
      <c r="B602" s="105">
        <v>23</v>
      </c>
      <c r="C602" s="105">
        <v>9</v>
      </c>
      <c r="D602" s="2" t="s">
        <v>433</v>
      </c>
      <c r="E602" s="105"/>
      <c r="F602" s="103" t="s">
        <v>477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x14ac:dyDescent="0.15">
      <c r="A603" s="22" t="s">
        <v>647</v>
      </c>
      <c r="B603" s="105">
        <v>23</v>
      </c>
      <c r="C603" s="105">
        <v>10</v>
      </c>
      <c r="D603" s="2" t="s">
        <v>433</v>
      </c>
      <c r="E603" s="105"/>
      <c r="F603" s="103" t="s">
        <v>477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289</v>
      </c>
      <c r="M603" s="8"/>
      <c r="N603" s="272"/>
    </row>
    <row r="604" spans="1:14" s="3" customFormat="1" ht="12" customHeight="1" thickBot="1" x14ac:dyDescent="0.2">
      <c r="A604" s="22" t="s">
        <v>648</v>
      </c>
      <c r="B604" s="105">
        <v>23</v>
      </c>
      <c r="C604" s="105">
        <v>11</v>
      </c>
      <c r="D604" s="2" t="s">
        <v>433</v>
      </c>
      <c r="E604" s="105"/>
      <c r="F604" s="103" t="s">
        <v>477</v>
      </c>
      <c r="G604" s="102">
        <v>730</v>
      </c>
      <c r="H604" s="18">
        <v>9870</v>
      </c>
      <c r="I604" s="18"/>
      <c r="J604" s="18"/>
      <c r="K604" s="104">
        <f>SUM(H604:J604)</f>
        <v>9870</v>
      </c>
      <c r="L604" s="24" t="s">
        <v>289</v>
      </c>
      <c r="M604" s="8"/>
      <c r="N604" s="272"/>
    </row>
    <row r="605" spans="1:14" s="3" customFormat="1" ht="12" customHeight="1" thickTop="1" x14ac:dyDescent="0.15">
      <c r="A605" s="98" t="s">
        <v>341</v>
      </c>
      <c r="B605" s="44">
        <v>23</v>
      </c>
      <c r="C605" s="44">
        <v>12</v>
      </c>
      <c r="D605" s="39" t="s">
        <v>433</v>
      </c>
      <c r="E605" s="44"/>
      <c r="F605" s="149" t="s">
        <v>477</v>
      </c>
      <c r="G605" s="148">
        <v>700</v>
      </c>
      <c r="H605" s="108">
        <f>SUM(H602:H604)</f>
        <v>9870</v>
      </c>
      <c r="I605" s="108">
        <f>SUM(I602:I604)</f>
        <v>0</v>
      </c>
      <c r="J605" s="108">
        <f>SUM(J602:J604)</f>
        <v>0</v>
      </c>
      <c r="K605" s="108">
        <f>SUM(K602:K604)</f>
        <v>9870</v>
      </c>
      <c r="L605" s="24" t="s">
        <v>289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584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693</v>
      </c>
      <c r="G609" s="177" t="s">
        <v>694</v>
      </c>
      <c r="H609" s="177" t="s">
        <v>695</v>
      </c>
      <c r="I609" s="177" t="s">
        <v>696</v>
      </c>
      <c r="J609" s="177" t="s">
        <v>697</v>
      </c>
      <c r="K609" s="177" t="s">
        <v>698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637</v>
      </c>
      <c r="B611" s="75">
        <v>23</v>
      </c>
      <c r="C611" s="75">
        <v>13</v>
      </c>
      <c r="D611" s="2" t="s">
        <v>433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2"/>
    </row>
    <row r="612" spans="1:14" s="3" customFormat="1" ht="12" customHeight="1" x14ac:dyDescent="0.15">
      <c r="A612" s="22" t="s">
        <v>638</v>
      </c>
      <c r="B612" s="75">
        <v>23</v>
      </c>
      <c r="C612" s="75">
        <v>14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Bot="1" x14ac:dyDescent="0.2">
      <c r="A613" s="22" t="s">
        <v>649</v>
      </c>
      <c r="B613" s="75">
        <v>23</v>
      </c>
      <c r="C613" s="75">
        <v>15</v>
      </c>
      <c r="D613" s="2" t="s">
        <v>433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" customHeight="1" thickTop="1" x14ac:dyDescent="0.15">
      <c r="A614" s="98" t="s">
        <v>341</v>
      </c>
      <c r="B614" s="107">
        <v>23</v>
      </c>
      <c r="C614" s="107">
        <v>16</v>
      </c>
      <c r="D614" s="39" t="s">
        <v>433</v>
      </c>
      <c r="E614" s="107"/>
      <c r="F614" s="108">
        <f t="shared" ref="F614:L614" si="49">SUM(F611:F613)</f>
        <v>0</v>
      </c>
      <c r="G614" s="108">
        <f t="shared" si="49"/>
        <v>0</v>
      </c>
      <c r="H614" s="108">
        <f t="shared" si="49"/>
        <v>0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0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687</v>
      </c>
      <c r="G617" s="109">
        <f>SUM(F19)</f>
        <v>627891</v>
      </c>
      <c r="H617" s="109">
        <f>SUM(F52)</f>
        <v>627891</v>
      </c>
      <c r="I617" s="121" t="s">
        <v>900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688</v>
      </c>
      <c r="G618" s="109">
        <f>SUM(G19)</f>
        <v>35331</v>
      </c>
      <c r="H618" s="109">
        <f>SUM(G52)</f>
        <v>35331</v>
      </c>
      <c r="I618" s="121" t="s">
        <v>901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689</v>
      </c>
      <c r="G619" s="109">
        <f>SUM(H19)</f>
        <v>24547</v>
      </c>
      <c r="H619" s="109">
        <f>SUM(H52)</f>
        <v>24547</v>
      </c>
      <c r="I619" s="121" t="s">
        <v>902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690</v>
      </c>
      <c r="G620" s="109">
        <f>SUM(I19)</f>
        <v>0</v>
      </c>
      <c r="H620" s="109">
        <f>SUM(I52)</f>
        <v>0</v>
      </c>
      <c r="I620" s="121" t="s">
        <v>903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691</v>
      </c>
      <c r="G621" s="109">
        <f>SUM(J19)</f>
        <v>104437</v>
      </c>
      <c r="H621" s="109">
        <f>SUM(J52)</f>
        <v>104437</v>
      </c>
      <c r="I621" s="121" t="s">
        <v>904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881</v>
      </c>
      <c r="G622" s="109">
        <f>F51</f>
        <v>414282</v>
      </c>
      <c r="H622" s="109">
        <f>F476</f>
        <v>414282</v>
      </c>
      <c r="I622" s="121" t="s">
        <v>101</v>
      </c>
      <c r="J622" s="109">
        <f t="shared" ref="J622:J655" si="50">G622-H622</f>
        <v>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882</v>
      </c>
      <c r="G623" s="109">
        <f>G51</f>
        <v>8861</v>
      </c>
      <c r="H623" s="109">
        <f>G476</f>
        <v>8861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883</v>
      </c>
      <c r="G624" s="109">
        <f>H51</f>
        <v>0</v>
      </c>
      <c r="H624" s="109">
        <f>H476</f>
        <v>0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884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885</v>
      </c>
      <c r="G626" s="109">
        <f>J51</f>
        <v>104437</v>
      </c>
      <c r="H626" s="109">
        <f>J476</f>
        <v>104437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662</v>
      </c>
      <c r="G627" s="109">
        <f>F193</f>
        <v>4170347</v>
      </c>
      <c r="H627" s="104">
        <f>SUM(F468)</f>
        <v>4170347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663</v>
      </c>
      <c r="G628" s="109">
        <f>G193</f>
        <v>132943</v>
      </c>
      <c r="H628" s="104">
        <f>SUM(G468)</f>
        <v>132943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664</v>
      </c>
      <c r="G629" s="109">
        <f>H193</f>
        <v>87309</v>
      </c>
      <c r="H629" s="104">
        <f>SUM(H468)</f>
        <v>87309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665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666</v>
      </c>
      <c r="G631" s="109">
        <f>J193</f>
        <v>11</v>
      </c>
      <c r="H631" s="104">
        <f>SUM(J468)</f>
        <v>11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395</v>
      </c>
      <c r="G632" s="109">
        <f>SUM(L271)</f>
        <v>4065160</v>
      </c>
      <c r="H632" s="104">
        <f>SUM(F472)</f>
        <v>4065160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396</v>
      </c>
      <c r="G633" s="109">
        <f>SUM(L352)</f>
        <v>87309</v>
      </c>
      <c r="H633" s="104">
        <f>SUM(H472)</f>
        <v>87309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59016</v>
      </c>
      <c r="H634" s="104">
        <f>I369</f>
        <v>59016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124860</v>
      </c>
      <c r="H635" s="104">
        <f>SUM(G472)</f>
        <v>124860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478</v>
      </c>
      <c r="G637" s="151">
        <f>SUM(L408)</f>
        <v>11</v>
      </c>
      <c r="H637" s="164">
        <f>SUM(J468)</f>
        <v>11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479</v>
      </c>
      <c r="G638" s="151">
        <f>SUM(L434)</f>
        <v>0</v>
      </c>
      <c r="H638" s="164">
        <f>SUM(J472)</f>
        <v>0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104437</v>
      </c>
      <c r="H639" s="104">
        <f>SUM(F461)</f>
        <v>104437</v>
      </c>
      <c r="I639" s="140" t="s">
        <v>857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0</v>
      </c>
      <c r="H640" s="104">
        <f>SUM(G461)</f>
        <v>0</v>
      </c>
      <c r="I640" s="140" t="s">
        <v>858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859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104437</v>
      </c>
      <c r="H642" s="104">
        <f>SUM(I461)</f>
        <v>104437</v>
      </c>
      <c r="I642" s="140" t="s">
        <v>860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480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667</v>
      </c>
      <c r="G644" s="109">
        <f>J96</f>
        <v>11</v>
      </c>
      <c r="H644" s="104">
        <f>H408</f>
        <v>11</v>
      </c>
      <c r="I644" s="140" t="s">
        <v>481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668</v>
      </c>
      <c r="G645" s="109">
        <f>J183</f>
        <v>0</v>
      </c>
      <c r="H645" s="104">
        <f>G408</f>
        <v>0</v>
      </c>
      <c r="I645" s="140" t="s">
        <v>482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666</v>
      </c>
      <c r="G646" s="109">
        <f>J193</f>
        <v>11</v>
      </c>
      <c r="H646" s="104">
        <f>L408</f>
        <v>11</v>
      </c>
      <c r="I646" s="140" t="s">
        <v>478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322944</v>
      </c>
      <c r="H647" s="104">
        <f>L208+L226+L244</f>
        <v>322944</v>
      </c>
      <c r="I647" s="140" t="s">
        <v>397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9870</v>
      </c>
      <c r="H648" s="104">
        <f>(J257+J338)-(J255+J336)</f>
        <v>9870</v>
      </c>
      <c r="I648" s="140" t="s">
        <v>703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388</v>
      </c>
      <c r="G649" s="109">
        <f>L208</f>
        <v>177600</v>
      </c>
      <c r="H649" s="104">
        <f>H598</f>
        <v>177600</v>
      </c>
      <c r="I649" s="140" t="s">
        <v>389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393</v>
      </c>
      <c r="G650" s="109">
        <f>L226</f>
        <v>0</v>
      </c>
      <c r="H650" s="104">
        <f>I598</f>
        <v>0</v>
      </c>
      <c r="I650" s="140" t="s">
        <v>390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394</v>
      </c>
      <c r="G651" s="109">
        <f>L244</f>
        <v>145344</v>
      </c>
      <c r="H651" s="104">
        <f>J598</f>
        <v>145344</v>
      </c>
      <c r="I651" s="140" t="s">
        <v>391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669</v>
      </c>
      <c r="G652" s="109">
        <f>G179</f>
        <v>50243</v>
      </c>
      <c r="H652" s="104">
        <f>K263+K345</f>
        <v>50243</v>
      </c>
      <c r="I652" s="140" t="s">
        <v>398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670</v>
      </c>
      <c r="G653" s="109">
        <f>H179</f>
        <v>0</v>
      </c>
      <c r="H653" s="104">
        <f>K264</f>
        <v>0</v>
      </c>
      <c r="I653" s="140" t="s">
        <v>399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671</v>
      </c>
      <c r="G654" s="109">
        <f>I179</f>
        <v>0</v>
      </c>
      <c r="H654" s="104">
        <f>K265+K346</f>
        <v>0</v>
      </c>
      <c r="I654" s="140" t="s">
        <v>400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672</v>
      </c>
      <c r="G655" s="109">
        <f>J179+J181</f>
        <v>0</v>
      </c>
      <c r="H655" s="104">
        <f>K266+K347</f>
        <v>0</v>
      </c>
      <c r="I655" s="140" t="s">
        <v>401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3160615</v>
      </c>
      <c r="G660" s="19">
        <f>(L229+L309+L359)</f>
        <v>0</v>
      </c>
      <c r="H660" s="19">
        <f>(L247+L328+L360)</f>
        <v>1060771</v>
      </c>
      <c r="I660" s="19">
        <f>SUM(F660:H660)</f>
        <v>4221386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45576</v>
      </c>
      <c r="G661" s="19">
        <f>(L359/IF(SUM(L358:L360)=0,1,SUM(L358:L360))*(SUM(G97:G110)))</f>
        <v>0</v>
      </c>
      <c r="H661" s="19">
        <f>(L360/IF(SUM(L358:L360)=0,1,SUM(L358:L360))*(SUM(G97:G110)))</f>
        <v>0</v>
      </c>
      <c r="I661" s="19">
        <f>SUM(F661:H661)</f>
        <v>45576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177600</v>
      </c>
      <c r="G662" s="19">
        <f>(L226+L306)-(J226+J306)</f>
        <v>0</v>
      </c>
      <c r="H662" s="19">
        <f>(L244+L325)-(J244+J325)</f>
        <v>145344</v>
      </c>
      <c r="I662" s="19">
        <f>SUM(F662:H662)</f>
        <v>322944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65564</v>
      </c>
      <c r="G663" s="199">
        <f>SUM(G575:G587)+SUM(I602:I604)+L612</f>
        <v>0</v>
      </c>
      <c r="H663" s="199">
        <f>SUM(H575:H587)+SUM(J602:J604)+L613</f>
        <v>915427</v>
      </c>
      <c r="I663" s="19">
        <f>SUM(F663:H663)</f>
        <v>980991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2871875</v>
      </c>
      <c r="G664" s="19">
        <f>G660-SUM(G661:G663)</f>
        <v>0</v>
      </c>
      <c r="H664" s="19">
        <f>H660-SUM(H661:H663)</f>
        <v>0</v>
      </c>
      <c r="I664" s="19">
        <f>I660-SUM(I661:I663)</f>
        <v>2871875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237.61</v>
      </c>
      <c r="G665" s="248"/>
      <c r="H665" s="248"/>
      <c r="I665" s="19">
        <f>SUM(F665:H665)</f>
        <v>237.61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12086.51</v>
      </c>
      <c r="G667" s="19" t="e">
        <f>ROUND(G664/G665,2)</f>
        <v>#DIV/0!</v>
      </c>
      <c r="H667" s="19" t="e">
        <f>ROUND(H664/H665,2)</f>
        <v>#DIV/0!</v>
      </c>
      <c r="I667" s="19">
        <f>ROUND(I664/I665,2)</f>
        <v>12086.51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>
        <f>ROUND((F664+F669)/(F665+F670),2)</f>
        <v>12086.51</v>
      </c>
      <c r="G672" s="19" t="e">
        <f>ROUND((G664+G669)/(G665+G670),2)</f>
        <v>#DIV/0!</v>
      </c>
      <c r="H672" s="19" t="e">
        <f>ROUND((H664+H669)/(H665+H670),2)</f>
        <v>#DIV/0!</v>
      </c>
      <c r="I672" s="19">
        <f>ROUND((I664+I669)/(I665+I670),2)</f>
        <v>12086.51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7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2013-2014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0"/>
  </sheetPr>
  <dimension ref="A1:C52"/>
  <sheetViews>
    <sheetView workbookViewId="0">
      <selection sqref="A1:C54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ANDOVER SCHOOL DISTRICT</v>
      </c>
      <c r="C1" s="238" t="s">
        <v>839</v>
      </c>
    </row>
    <row r="2" spans="1:3" x14ac:dyDescent="0.2">
      <c r="A2" s="233"/>
      <c r="B2" s="232"/>
    </row>
    <row r="3" spans="1:3" x14ac:dyDescent="0.2">
      <c r="A3" s="278" t="s">
        <v>784</v>
      </c>
      <c r="B3" s="278"/>
      <c r="C3" s="278"/>
    </row>
    <row r="4" spans="1:3" x14ac:dyDescent="0.2">
      <c r="A4" s="236"/>
      <c r="B4" s="237" t="str">
        <f>'DOE25'!H1</f>
        <v>DOE 25  2013-2014</v>
      </c>
      <c r="C4" s="236"/>
    </row>
    <row r="5" spans="1:3" x14ac:dyDescent="0.2">
      <c r="A5" s="233"/>
      <c r="B5" s="232"/>
    </row>
    <row r="6" spans="1:3" x14ac:dyDescent="0.2">
      <c r="A6" s="227"/>
      <c r="B6" s="277" t="s">
        <v>783</v>
      </c>
      <c r="C6" s="277"/>
    </row>
    <row r="7" spans="1:3" x14ac:dyDescent="0.2">
      <c r="A7" s="239" t="s">
        <v>786</v>
      </c>
      <c r="B7" s="275" t="s">
        <v>782</v>
      </c>
      <c r="C7" s="276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'DOE25'!F197+'DOE25'!F215+'DOE25'!F233+'DOE25'!F276+'DOE25'!F295+'DOE25'!F314</f>
        <v>1024094</v>
      </c>
      <c r="C9" s="229">
        <f>'DOE25'!G197+'DOE25'!G215+'DOE25'!G233+'DOE25'!G276+'DOE25'!G295+'DOE25'!G314</f>
        <v>483731</v>
      </c>
    </row>
    <row r="10" spans="1:3" x14ac:dyDescent="0.2">
      <c r="A10" t="s">
        <v>779</v>
      </c>
      <c r="B10" s="240">
        <v>998711</v>
      </c>
      <c r="C10" s="240">
        <v>468971</v>
      </c>
    </row>
    <row r="11" spans="1:3" x14ac:dyDescent="0.2">
      <c r="A11" t="s">
        <v>780</v>
      </c>
      <c r="B11" s="240">
        <v>25383</v>
      </c>
      <c r="C11" s="240">
        <v>14760</v>
      </c>
    </row>
    <row r="12" spans="1:3" x14ac:dyDescent="0.2">
      <c r="A12" t="s">
        <v>781</v>
      </c>
      <c r="B12" s="240"/>
      <c r="C12" s="240"/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1024094</v>
      </c>
      <c r="C13" s="231">
        <f>SUM(C10:C12)</f>
        <v>483731</v>
      </c>
    </row>
    <row r="14" spans="1:3" x14ac:dyDescent="0.2">
      <c r="B14" s="230"/>
      <c r="C14" s="230"/>
    </row>
    <row r="15" spans="1:3" x14ac:dyDescent="0.2">
      <c r="B15" s="277" t="s">
        <v>783</v>
      </c>
      <c r="C15" s="277"/>
    </row>
    <row r="16" spans="1:3" x14ac:dyDescent="0.2">
      <c r="A16" s="239" t="s">
        <v>787</v>
      </c>
      <c r="B16" s="275" t="s">
        <v>707</v>
      </c>
      <c r="C16" s="276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'DOE25'!F198+'DOE25'!F216+'DOE25'!F234+'DOE25'!F277+'DOE25'!F296+'DOE25'!F315</f>
        <v>279762</v>
      </c>
      <c r="C18" s="229">
        <f>'DOE25'!G198+'DOE25'!G216+'DOE25'!G234+'DOE25'!G277+'DOE25'!G296+'DOE25'!G315</f>
        <v>98315</v>
      </c>
    </row>
    <row r="19" spans="1:3" x14ac:dyDescent="0.2">
      <c r="A19" t="s">
        <v>779</v>
      </c>
      <c r="B19" s="240">
        <v>222666</v>
      </c>
      <c r="C19" s="240">
        <v>74948</v>
      </c>
    </row>
    <row r="20" spans="1:3" x14ac:dyDescent="0.2">
      <c r="A20" t="s">
        <v>780</v>
      </c>
      <c r="B20" s="240">
        <v>57096</v>
      </c>
      <c r="C20" s="240">
        <v>23367</v>
      </c>
    </row>
    <row r="21" spans="1:3" x14ac:dyDescent="0.2">
      <c r="A21" t="s">
        <v>781</v>
      </c>
      <c r="B21" s="240"/>
      <c r="C21" s="240"/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279762</v>
      </c>
      <c r="C22" s="231">
        <f>SUM(C19:C21)</f>
        <v>98315</v>
      </c>
    </row>
    <row r="23" spans="1:3" x14ac:dyDescent="0.2">
      <c r="B23" s="230"/>
      <c r="C23" s="230"/>
    </row>
    <row r="24" spans="1:3" x14ac:dyDescent="0.2">
      <c r="B24" s="277" t="s">
        <v>783</v>
      </c>
      <c r="C24" s="277"/>
    </row>
    <row r="25" spans="1:3" x14ac:dyDescent="0.2">
      <c r="A25" s="239" t="s">
        <v>788</v>
      </c>
      <c r="B25" s="275" t="s">
        <v>708</v>
      </c>
      <c r="C25" s="276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7" t="s">
        <v>783</v>
      </c>
      <c r="C33" s="277"/>
    </row>
    <row r="34" spans="1:3" x14ac:dyDescent="0.2">
      <c r="A34" s="239" t="s">
        <v>789</v>
      </c>
      <c r="B34" s="275" t="s">
        <v>709</v>
      </c>
      <c r="C34" s="276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'DOE25'!F200+'DOE25'!F218+'DOE25'!F236+'DOE25'!F279+'DOE25'!F298+'DOE25'!F317</f>
        <v>10250</v>
      </c>
      <c r="C36" s="235">
        <f>'DOE25'!G200+'DOE25'!G218+'DOE25'!G236+'DOE25'!G279+'DOE25'!G298+'DOE25'!G317</f>
        <v>1918</v>
      </c>
    </row>
    <row r="37" spans="1:3" x14ac:dyDescent="0.2">
      <c r="A37" t="s">
        <v>779</v>
      </c>
      <c r="B37" s="240">
        <v>10250</v>
      </c>
      <c r="C37" s="240">
        <v>1918</v>
      </c>
    </row>
    <row r="38" spans="1:3" x14ac:dyDescent="0.2">
      <c r="A38" t="s">
        <v>780</v>
      </c>
      <c r="B38" s="240"/>
      <c r="C38" s="240"/>
    </row>
    <row r="39" spans="1:3" x14ac:dyDescent="0.2">
      <c r="A39" t="s">
        <v>781</v>
      </c>
      <c r="B39" s="240"/>
      <c r="C39" s="240"/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10250</v>
      </c>
      <c r="C40" s="231">
        <f>SUM(C37:C39)</f>
        <v>1918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A7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FY2013-2014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I51"/>
  <sheetViews>
    <sheetView workbookViewId="0">
      <pane ySplit="4" topLeftCell="A26" activePane="bottomLeft" state="frozen"/>
      <selection activeCell="F46" sqref="F46"/>
      <selection pane="bottomLeft" sqref="A1:H51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7" t="s">
        <v>790</v>
      </c>
      <c r="B1" s="282"/>
      <c r="C1" s="282"/>
      <c r="D1" s="282"/>
      <c r="E1" s="282"/>
      <c r="F1" s="282"/>
      <c r="G1" s="282"/>
      <c r="H1" s="282"/>
      <c r="I1" s="181"/>
    </row>
    <row r="2" spans="1:9" x14ac:dyDescent="0.2">
      <c r="A2" s="33" t="s">
        <v>717</v>
      </c>
      <c r="B2" s="265" t="str">
        <f>'DOE25'!A2</f>
        <v>ANDOVER SCHOOL DISTRICT</v>
      </c>
      <c r="C2" s="181"/>
      <c r="D2" s="181" t="s">
        <v>792</v>
      </c>
      <c r="E2" s="181" t="s">
        <v>794</v>
      </c>
      <c r="F2" s="279" t="s">
        <v>821</v>
      </c>
      <c r="G2" s="280"/>
      <c r="H2" s="281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2883754</v>
      </c>
      <c r="D5" s="20">
        <f>SUM('DOE25'!L197:L200)+SUM('DOE25'!L215:L218)+SUM('DOE25'!L233:L236)-F5-G5</f>
        <v>2883119</v>
      </c>
      <c r="E5" s="243"/>
      <c r="F5" s="255">
        <f>SUM('DOE25'!J197:J200)+SUM('DOE25'!J215:J218)+SUM('DOE25'!J233:J236)</f>
        <v>0</v>
      </c>
      <c r="G5" s="53">
        <f>SUM('DOE25'!K197:K200)+SUM('DOE25'!K215:K218)+SUM('DOE25'!K233:K236)</f>
        <v>635</v>
      </c>
      <c r="H5" s="259"/>
    </row>
    <row r="6" spans="1:9" x14ac:dyDescent="0.2">
      <c r="A6" s="32">
        <v>2100</v>
      </c>
      <c r="B6" t="s">
        <v>801</v>
      </c>
      <c r="C6" s="245">
        <f t="shared" si="0"/>
        <v>201360</v>
      </c>
      <c r="D6" s="20">
        <f>'DOE25'!L202+'DOE25'!L220+'DOE25'!L238-F6-G6</f>
        <v>201360</v>
      </c>
      <c r="E6" s="243"/>
      <c r="F6" s="255">
        <f>'DOE25'!J202+'DOE25'!J220+'DOE25'!J238</f>
        <v>0</v>
      </c>
      <c r="G6" s="53">
        <f>'DOE25'!K202+'DOE25'!K220+'DOE25'!K238</f>
        <v>0</v>
      </c>
      <c r="H6" s="259"/>
    </row>
    <row r="7" spans="1:9" x14ac:dyDescent="0.2">
      <c r="A7" s="32">
        <v>2200</v>
      </c>
      <c r="B7" t="s">
        <v>834</v>
      </c>
      <c r="C7" s="245">
        <f t="shared" si="0"/>
        <v>74769</v>
      </c>
      <c r="D7" s="20">
        <f>'DOE25'!L203+'DOE25'!L221+'DOE25'!L239-F7-G7</f>
        <v>74769</v>
      </c>
      <c r="E7" s="243"/>
      <c r="F7" s="255">
        <f>'DOE25'!J203+'DOE25'!J221+'DOE25'!J239</f>
        <v>0</v>
      </c>
      <c r="G7" s="53">
        <f>'DOE25'!K203+'DOE25'!K221+'DOE25'!K239</f>
        <v>0</v>
      </c>
      <c r="H7" s="259"/>
    </row>
    <row r="8" spans="1:9" x14ac:dyDescent="0.2">
      <c r="A8" s="32">
        <v>2300</v>
      </c>
      <c r="B8" t="s">
        <v>802</v>
      </c>
      <c r="C8" s="245">
        <f t="shared" si="0"/>
        <v>68039</v>
      </c>
      <c r="D8" s="243"/>
      <c r="E8" s="20">
        <f>'DOE25'!L204+'DOE25'!L222+'DOE25'!L240-F8-G8-D9-D11</f>
        <v>65096</v>
      </c>
      <c r="F8" s="255">
        <f>'DOE25'!J204+'DOE25'!J222+'DOE25'!J240</f>
        <v>0</v>
      </c>
      <c r="G8" s="53">
        <f>'DOE25'!K204+'DOE25'!K222+'DOE25'!K240</f>
        <v>2943</v>
      </c>
      <c r="H8" s="259"/>
    </row>
    <row r="9" spans="1:9" x14ac:dyDescent="0.2">
      <c r="A9" s="32">
        <v>2310</v>
      </c>
      <c r="B9" t="s">
        <v>818</v>
      </c>
      <c r="C9" s="245">
        <f t="shared" si="0"/>
        <v>6996</v>
      </c>
      <c r="D9" s="244">
        <v>6996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6600</v>
      </c>
      <c r="D10" s="243"/>
      <c r="E10" s="244">
        <v>6600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38814</v>
      </c>
      <c r="D11" s="244">
        <v>38814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180058</v>
      </c>
      <c r="D12" s="20">
        <f>'DOE25'!L205+'DOE25'!L223+'DOE25'!L241-F12-G12</f>
        <v>169513</v>
      </c>
      <c r="E12" s="243"/>
      <c r="F12" s="255">
        <f>'DOE25'!J205+'DOE25'!J223+'DOE25'!J241</f>
        <v>9870</v>
      </c>
      <c r="G12" s="53">
        <f>'DOE25'!K205+'DOE25'!K223+'DOE25'!K241</f>
        <v>675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223713</v>
      </c>
      <c r="D14" s="20">
        <f>'DOE25'!L207+'DOE25'!L225+'DOE25'!L243-F14-G14</f>
        <v>223713</v>
      </c>
      <c r="E14" s="243"/>
      <c r="F14" s="255">
        <f>'DOE25'!J207+'DOE25'!J225+'DOE25'!J243</f>
        <v>0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322944</v>
      </c>
      <c r="D15" s="20">
        <f>'DOE25'!L208+'DOE25'!L226+'DOE25'!L244-F15-G15</f>
        <v>322944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8770</v>
      </c>
      <c r="D16" s="243"/>
      <c r="E16" s="20">
        <f>'DOE25'!L209+'DOE25'!L227+'DOE25'!L245-F16-G16</f>
        <v>8770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5700</v>
      </c>
      <c r="D22" s="243"/>
      <c r="E22" s="243"/>
      <c r="F22" s="255">
        <f>'DOE25'!L255+'DOE25'!L336</f>
        <v>5700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0</v>
      </c>
      <c r="D25" s="243"/>
      <c r="E25" s="243"/>
      <c r="F25" s="258"/>
      <c r="G25" s="256"/>
      <c r="H25" s="257">
        <f>'DOE25'!L260+'DOE25'!L261+'DOE25'!L341+'DOE25'!L342</f>
        <v>0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67284</v>
      </c>
      <c r="D29" s="20">
        <f>'DOE25'!L358+'DOE25'!L359+'DOE25'!L360-'DOE25'!I367-F29-G29</f>
        <v>62739</v>
      </c>
      <c r="E29" s="243"/>
      <c r="F29" s="255">
        <f>'DOE25'!J358+'DOE25'!J359+'DOE25'!J360</f>
        <v>4545</v>
      </c>
      <c r="G29" s="53">
        <f>'DOE25'!K358+'DOE25'!K359+'DOE25'!K360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87309</v>
      </c>
      <c r="D31" s="20">
        <f>'DOE25'!L290+'DOE25'!L309+'DOE25'!L328+'DOE25'!L333+'DOE25'!L334+'DOE25'!L335-F31-G31</f>
        <v>85511</v>
      </c>
      <c r="E31" s="243"/>
      <c r="F31" s="255">
        <f>'DOE25'!J290+'DOE25'!J309+'DOE25'!J328+'DOE25'!J333+'DOE25'!J334+'DOE25'!J335</f>
        <v>0</v>
      </c>
      <c r="G31" s="53">
        <f>'DOE25'!K290+'DOE25'!K309+'DOE25'!K328+'DOE25'!K333+'DOE25'!K334+'DOE25'!K335</f>
        <v>1798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4069478</v>
      </c>
      <c r="E33" s="246">
        <f>SUM(E5:E31)</f>
        <v>80466</v>
      </c>
      <c r="F33" s="246">
        <f>SUM(F5:F31)</f>
        <v>20115</v>
      </c>
      <c r="G33" s="246">
        <f>SUM(G5:G31)</f>
        <v>6051</v>
      </c>
      <c r="H33" s="246">
        <f>SUM(H5:H31)</f>
        <v>0</v>
      </c>
    </row>
    <row r="35" spans="2:8" ht="12" thickBot="1" x14ac:dyDescent="0.25">
      <c r="B35" s="253" t="s">
        <v>847</v>
      </c>
      <c r="D35" s="254">
        <f>E33</f>
        <v>80466</v>
      </c>
      <c r="E35" s="249"/>
    </row>
    <row r="36" spans="2:8" ht="12" thickTop="1" x14ac:dyDescent="0.2">
      <c r="B36" t="s">
        <v>815</v>
      </c>
      <c r="D36" s="20">
        <f>D33</f>
        <v>4069478</v>
      </c>
    </row>
    <row r="38" spans="2:8" x14ac:dyDescent="0.2">
      <c r="B38" s="187" t="s">
        <v>895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>
    <tabColor indexed="10"/>
  </sheetPr>
  <dimension ref="A1:I164"/>
  <sheetViews>
    <sheetView zoomScale="80" zoomScaleNormal="80" workbookViewId="0">
      <pane ySplit="2" topLeftCell="A152" activePane="bottomLeft" state="frozen"/>
      <selection activeCell="F46" sqref="F46"/>
      <selection pane="bottomLeft" sqref="A1:G164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ANDOVER SCHOOL DISTRICT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174776</v>
      </c>
      <c r="D8" s="95">
        <f>'DOE25'!G9</f>
        <v>5344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432721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20234</v>
      </c>
      <c r="D11" s="95">
        <f>'DOE25'!G12</f>
        <v>0</v>
      </c>
      <c r="E11" s="95">
        <f>'DOE25'!H12</f>
        <v>11169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0</v>
      </c>
      <c r="D12" s="95">
        <f>'DOE25'!G13</f>
        <v>27312</v>
      </c>
      <c r="E12" s="95">
        <f>'DOE25'!H13</f>
        <v>13378</v>
      </c>
      <c r="F12" s="95">
        <f>'DOE25'!I13</f>
        <v>0</v>
      </c>
      <c r="G12" s="95">
        <f>'DOE25'!J13</f>
        <v>104437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160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2675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627891</v>
      </c>
      <c r="D18" s="41">
        <f>SUM(D8:D17)</f>
        <v>35331</v>
      </c>
      <c r="E18" s="41">
        <f>SUM(E8:E17)</f>
        <v>24547</v>
      </c>
      <c r="F18" s="41">
        <f>SUM(F8:F17)</f>
        <v>0</v>
      </c>
      <c r="G18" s="41">
        <f>SUM(G8:G17)</f>
        <v>104437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20625</v>
      </c>
      <c r="E21" s="95">
        <f>'DOE25'!H22</f>
        <v>10778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213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213396</v>
      </c>
      <c r="D27" s="95">
        <f>'DOE25'!G28</f>
        <v>5845</v>
      </c>
      <c r="E27" s="95">
        <f>'DOE25'!H28</f>
        <v>2600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11169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213609</v>
      </c>
      <c r="D31" s="41">
        <f>SUM(D21:D30)</f>
        <v>26470</v>
      </c>
      <c r="E31" s="41">
        <f>SUM(E21:E30)</f>
        <v>24547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2675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50000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905</v>
      </c>
      <c r="B45" s="6"/>
      <c r="C45" s="95">
        <f>'DOE25'!F46</f>
        <v>0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4"/>
      <c r="I46" s="124"/>
    </row>
    <row r="47" spans="1:9" x14ac:dyDescent="0.2">
      <c r="A47" s="1" t="s">
        <v>906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104437</v>
      </c>
      <c r="H47" s="124"/>
      <c r="I47" s="124"/>
    </row>
    <row r="48" spans="1:9" x14ac:dyDescent="0.2">
      <c r="A48" s="1" t="s">
        <v>907</v>
      </c>
      <c r="B48" s="6">
        <v>753</v>
      </c>
      <c r="C48" s="95">
        <f>'DOE25'!F49</f>
        <v>17776</v>
      </c>
      <c r="D48" s="95">
        <f>'DOE25'!G49</f>
        <v>6186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908</v>
      </c>
      <c r="B49" s="71">
        <v>770</v>
      </c>
      <c r="C49" s="95">
        <f>'DOE25'!F50</f>
        <v>346506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4"/>
      <c r="I49" s="124"/>
    </row>
    <row r="50" spans="1:9" ht="12.75" thickTop="1" thickBot="1" x14ac:dyDescent="0.25">
      <c r="A50" s="38" t="s">
        <v>909</v>
      </c>
      <c r="B50" s="48"/>
      <c r="C50" s="41">
        <f>SUM(C34:C49)</f>
        <v>414282</v>
      </c>
      <c r="D50" s="41">
        <f>SUM(D34:D49)</f>
        <v>8861</v>
      </c>
      <c r="E50" s="41">
        <f>SUM(E34:E49)</f>
        <v>0</v>
      </c>
      <c r="F50" s="41">
        <f>SUM(F34:F49)</f>
        <v>0</v>
      </c>
      <c r="G50" s="41">
        <f>SUM(G34:G49)</f>
        <v>104437</v>
      </c>
      <c r="H50" s="124"/>
      <c r="I50" s="124"/>
    </row>
    <row r="51" spans="1:9" ht="12" thickTop="1" x14ac:dyDescent="0.2">
      <c r="A51" s="38" t="s">
        <v>910</v>
      </c>
      <c r="B51" s="2"/>
      <c r="C51" s="41">
        <f>C50+C31</f>
        <v>627891</v>
      </c>
      <c r="D51" s="41">
        <f>D50+D31</f>
        <v>35331</v>
      </c>
      <c r="E51" s="41">
        <f>E50+E31</f>
        <v>24547</v>
      </c>
      <c r="F51" s="41">
        <f>F50+F31</f>
        <v>0</v>
      </c>
      <c r="G51" s="41">
        <f>G50+G31</f>
        <v>104437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8" t="s">
        <v>161</v>
      </c>
      <c r="B55" s="127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2682730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0</v>
      </c>
      <c r="D57" s="24" t="s">
        <v>289</v>
      </c>
      <c r="E57" s="95">
        <f>'DOE25'!H79</f>
        <v>0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289</v>
      </c>
      <c r="E58" s="95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328</v>
      </c>
      <c r="D59" s="95">
        <f>'DOE25'!G96</f>
        <v>8</v>
      </c>
      <c r="E59" s="95">
        <f>'DOE25'!H96</f>
        <v>0</v>
      </c>
      <c r="F59" s="95">
        <f>'DOE25'!I96</f>
        <v>0</v>
      </c>
      <c r="G59" s="95">
        <f>'DOE25'!J96</f>
        <v>11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289</v>
      </c>
      <c r="D60" s="95">
        <f>'DOE25'!G97</f>
        <v>45576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286</v>
      </c>
      <c r="D61" s="95">
        <f>SUM('DOE25'!G98:G110)</f>
        <v>0</v>
      </c>
      <c r="E61" s="95">
        <f>SUM('DOE25'!H98:H110)</f>
        <v>2519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614</v>
      </c>
      <c r="D62" s="130">
        <f>SUM(D57:D61)</f>
        <v>45584</v>
      </c>
      <c r="E62" s="130">
        <f>SUM(E57:E61)</f>
        <v>2519</v>
      </c>
      <c r="F62" s="130">
        <f>SUM(F57:F61)</f>
        <v>0</v>
      </c>
      <c r="G62" s="130">
        <f>SUM(G57:G61)</f>
        <v>11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2683344</v>
      </c>
      <c r="D63" s="22">
        <f>D56+D62</f>
        <v>45584</v>
      </c>
      <c r="E63" s="22">
        <f>E56+E62</f>
        <v>2519</v>
      </c>
      <c r="F63" s="22">
        <f>F56+F62</f>
        <v>0</v>
      </c>
      <c r="G63" s="22">
        <f>G56+G62</f>
        <v>11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5">
        <f>'DOE25'!F117</f>
        <v>856642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5">
        <f>'DOE25'!F118</f>
        <v>599048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1455690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289</v>
      </c>
      <c r="E73" s="24" t="s">
        <v>289</v>
      </c>
      <c r="F73" s="95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4135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0</v>
      </c>
      <c r="D76" s="24" t="s">
        <v>289</v>
      </c>
      <c r="E76" s="95">
        <f>SUM('DOE25'!H127:H130)</f>
        <v>0</v>
      </c>
      <c r="F76" s="95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1303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4135</v>
      </c>
      <c r="D78" s="130">
        <f>SUM(D72:D77)</f>
        <v>1303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5">
        <f>'DOE25'!F138</f>
        <v>0</v>
      </c>
      <c r="D80" s="24" t="s">
        <v>289</v>
      </c>
      <c r="E80" s="95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30">
        <f>SUM(C79:C80)+C78+C70</f>
        <v>1459825</v>
      </c>
      <c r="D81" s="130">
        <f>SUM(D79:D80)+D78+D70</f>
        <v>1303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8" t="s">
        <v>181</v>
      </c>
      <c r="B84" s="127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5">
        <f>SUM('DOE25'!F149:F152)</f>
        <v>0</v>
      </c>
      <c r="D87" s="24" t="s">
        <v>289</v>
      </c>
      <c r="E87" s="95">
        <f>SUM('DOE25'!H149:H152)</f>
        <v>0</v>
      </c>
      <c r="F87" s="95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5">
        <f>SUM('DOE25'!F153:F161)</f>
        <v>27178</v>
      </c>
      <c r="D88" s="95">
        <f>SUM('DOE25'!G153:G161)</f>
        <v>35813</v>
      </c>
      <c r="E88" s="95">
        <f>SUM('DOE25'!H153:H161)</f>
        <v>84790</v>
      </c>
      <c r="F88" s="95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5">
        <f>'DOE25'!F165</f>
        <v>0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1">
        <f>SUM(C85:C90)</f>
        <v>27178</v>
      </c>
      <c r="D91" s="131">
        <f>SUM(D85:D90)</f>
        <v>35813</v>
      </c>
      <c r="E91" s="131">
        <f>SUM(E85:E90)</f>
        <v>84790</v>
      </c>
      <c r="F91" s="131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5">
        <f>SUM('DOE25'!F173:F175)</f>
        <v>0</v>
      </c>
      <c r="D93" s="24" t="s">
        <v>289</v>
      </c>
      <c r="E93" s="24" t="s">
        <v>289</v>
      </c>
      <c r="F93" s="95">
        <f>SUM('DOE25'!I173:I175)</f>
        <v>0</v>
      </c>
      <c r="G93" s="24" t="s">
        <v>289</v>
      </c>
    </row>
    <row r="94" spans="1:9" x14ac:dyDescent="0.2">
      <c r="A94" t="s">
        <v>756</v>
      </c>
      <c r="B94" s="32">
        <v>5140</v>
      </c>
      <c r="C94" s="95">
        <f>'DOE25'!F176</f>
        <v>0</v>
      </c>
      <c r="D94" s="24" t="s">
        <v>289</v>
      </c>
      <c r="E94" s="24" t="s">
        <v>289</v>
      </c>
      <c r="F94" s="95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5">
        <f>'DOE25'!G179</f>
        <v>50243</v>
      </c>
      <c r="E96" s="95">
        <f>'DOE25'!H179</f>
        <v>0</v>
      </c>
      <c r="F96" s="95">
        <f>'DOE25'!I179</f>
        <v>0</v>
      </c>
      <c r="G96" s="95">
        <f>'DOE25'!J179</f>
        <v>0</v>
      </c>
    </row>
    <row r="97" spans="1:7" x14ac:dyDescent="0.2">
      <c r="A97" t="s">
        <v>758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759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289</v>
      </c>
      <c r="G98" s="95">
        <f>'DOE25'!J182</f>
        <v>0</v>
      </c>
    </row>
    <row r="99" spans="1:7" x14ac:dyDescent="0.2">
      <c r="A99" t="s">
        <v>760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6">
        <f>SUM(C93:C102)</f>
        <v>0</v>
      </c>
      <c r="D103" s="86">
        <f>SUM(D93:D102)</f>
        <v>50243</v>
      </c>
      <c r="E103" s="86">
        <f>SUM(E93:E102)</f>
        <v>0</v>
      </c>
      <c r="F103" s="86">
        <f>SUM(F93:F102)</f>
        <v>0</v>
      </c>
      <c r="G103" s="86">
        <f>SUM(G93:G102)</f>
        <v>0</v>
      </c>
    </row>
    <row r="104" spans="1:7" ht="12.75" thickTop="1" thickBot="1" x14ac:dyDescent="0.25">
      <c r="A104" s="33" t="s">
        <v>765</v>
      </c>
      <c r="C104" s="86">
        <f>C63+C81+C91+C103</f>
        <v>4170347</v>
      </c>
      <c r="D104" s="86">
        <f>D63+D81+D91+D103</f>
        <v>132943</v>
      </c>
      <c r="E104" s="86">
        <f>E63+E81+E91+E103</f>
        <v>87309</v>
      </c>
      <c r="F104" s="86">
        <f>F63+F81+F91+F103</f>
        <v>0</v>
      </c>
      <c r="G104" s="86">
        <f>G63+G81+G103</f>
        <v>11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8" t="s">
        <v>195</v>
      </c>
      <c r="B108" s="127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2341890</v>
      </c>
      <c r="D109" s="24" t="s">
        <v>289</v>
      </c>
      <c r="E109" s="95">
        <f>('DOE25'!L276)+('DOE25'!L295)+('DOE25'!L314)</f>
        <v>5883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524267</v>
      </c>
      <c r="D110" s="24" t="s">
        <v>289</v>
      </c>
      <c r="E110" s="95">
        <f>('DOE25'!L277)+('DOE25'!L296)+('DOE25'!L315)</f>
        <v>55770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0</v>
      </c>
      <c r="D111" s="24" t="s">
        <v>289</v>
      </c>
      <c r="E111" s="95">
        <f>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17597</v>
      </c>
      <c r="D112" s="24" t="s">
        <v>289</v>
      </c>
      <c r="E112" s="95">
        <f>+('DOE25'!L279)+('DOE25'!L298)+('DOE25'!L317)</f>
        <v>0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289</v>
      </c>
      <c r="E113" s="95">
        <f>+'DOE25'!L332</f>
        <v>0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289</v>
      </c>
      <c r="E114" s="95">
        <f>+ SUM('DOE25'!L333:L335)</f>
        <v>0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6">
        <f>SUM(C109:C114)</f>
        <v>2883754</v>
      </c>
      <c r="D115" s="86">
        <f>SUM(D109:D114)</f>
        <v>0</v>
      </c>
      <c r="E115" s="86">
        <f>SUM(E109:E114)</f>
        <v>61653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201360</v>
      </c>
      <c r="D118" s="24" t="s">
        <v>289</v>
      </c>
      <c r="E118" s="95">
        <f>+('DOE25'!L281)+('DOE25'!L300)+('DOE25'!L319)</f>
        <v>19358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74769</v>
      </c>
      <c r="D119" s="24" t="s">
        <v>289</v>
      </c>
      <c r="E119" s="95">
        <f>+('DOE25'!L282)+('DOE25'!L301)+('DOE25'!L320)</f>
        <v>4500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113849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180058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289</v>
      </c>
      <c r="E122" s="95">
        <f>+('DOE25'!L285)+('DOE25'!L304)+('DOE25'!L323)</f>
        <v>1798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223713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322944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8770</v>
      </c>
      <c r="D125" s="24" t="s">
        <v>289</v>
      </c>
      <c r="E125" s="95">
        <f>+('DOE25'!L288)+('DOE25'!L307)+('DOE25'!L326)</f>
        <v>0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5">
        <f>('DOE25'!L358)+('DOE25'!L359)+('DOE25'!L360)</f>
        <v>124860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6">
        <f>SUM(C118:C127)</f>
        <v>1125463</v>
      </c>
      <c r="D128" s="86">
        <f>SUM(D118:D127)</f>
        <v>124860</v>
      </c>
      <c r="E128" s="86">
        <f>SUM(E118:E127)</f>
        <v>25656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5">
        <f>'DOE25'!L255</f>
        <v>5700</v>
      </c>
      <c r="D130" s="24" t="s">
        <v>289</v>
      </c>
      <c r="E130" s="129">
        <f>'DOE25'!L336</f>
        <v>0</v>
      </c>
      <c r="F130" s="129">
        <f>SUM('DOE25'!L374:'DOE25'!L380)</f>
        <v>0</v>
      </c>
      <c r="G130" s="24" t="s">
        <v>289</v>
      </c>
    </row>
    <row r="131" spans="1:7" x14ac:dyDescent="0.2">
      <c r="A131" t="s">
        <v>229</v>
      </c>
      <c r="B131" s="32">
        <v>5110</v>
      </c>
      <c r="C131" s="95">
        <f>'DOE25'!L260</f>
        <v>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5">
        <f>'DOE25'!L261</f>
        <v>0</v>
      </c>
      <c r="D132" s="24" t="s">
        <v>289</v>
      </c>
      <c r="E132" s="129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50243</v>
      </c>
      <c r="D135" s="24" t="s">
        <v>289</v>
      </c>
      <c r="E135" s="129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289</v>
      </c>
      <c r="E137" s="129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5">
        <f>'DOE25'!L393</f>
        <v>0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5">
        <f>'DOE25'!L401</f>
        <v>11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5">
        <f>('DOE25'!L266+'DOE25'!K347) - (C138+C139+C140)</f>
        <v>-11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289</v>
      </c>
      <c r="E143" s="129">
        <f>'DOE25'!L350</f>
        <v>0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1">
        <f>SUM(C130:C143)</f>
        <v>55943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4065160</v>
      </c>
      <c r="D145" s="86">
        <f>(D115+D128+D144)</f>
        <v>124860</v>
      </c>
      <c r="E145" s="86">
        <f>(E115+E128+E144)</f>
        <v>87309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6" t="s">
        <v>27</v>
      </c>
      <c r="B151" s="153">
        <f>'DOE25'!F490</f>
        <v>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289</v>
      </c>
    </row>
    <row r="152" spans="1:9" x14ac:dyDescent="0.2">
      <c r="A152" s="136" t="s">
        <v>28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29</v>
      </c>
      <c r="B153" s="152">
        <f>'DOE25'!F492</f>
        <v>0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289</v>
      </c>
    </row>
    <row r="154" spans="1:9" x14ac:dyDescent="0.2">
      <c r="A154" s="136" t="s">
        <v>30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136" t="s">
        <v>31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289</v>
      </c>
    </row>
    <row r="156" spans="1:9" x14ac:dyDescent="0.2">
      <c r="A156" s="22" t="s">
        <v>32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 x14ac:dyDescent="0.2">
      <c r="A159" s="22" t="s">
        <v>35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 x14ac:dyDescent="0.2">
      <c r="A160" s="22" t="s">
        <v>36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 x14ac:dyDescent="0.2">
      <c r="A161" s="22" t="s">
        <v>37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 x14ac:dyDescent="0.2">
      <c r="A162" s="22" t="s">
        <v>38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39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  <row r="164" spans="1:7" x14ac:dyDescent="0.2">
      <c r="A164" s="22" t="s">
        <v>246</v>
      </c>
      <c r="B164" s="137">
        <f>'DOE25'!F503</f>
        <v>0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0</v>
      </c>
    </row>
  </sheetData>
  <sheetProtection password="A7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2013-2014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3"/>
  </sheetPr>
  <dimension ref="A1:D42"/>
  <sheetViews>
    <sheetView topLeftCell="A10" workbookViewId="0">
      <selection sqref="A1:D42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3" t="s">
        <v>740</v>
      </c>
      <c r="B1" s="283"/>
      <c r="C1" s="283"/>
      <c r="D1" s="283"/>
    </row>
    <row r="2" spans="1:4" x14ac:dyDescent="0.2">
      <c r="A2" s="187" t="s">
        <v>717</v>
      </c>
      <c r="B2" s="186" t="str">
        <f>'DOE25'!A2</f>
        <v>ANDOVER SCHOOL DISTRICT</v>
      </c>
    </row>
    <row r="3" spans="1:4" x14ac:dyDescent="0.2">
      <c r="B3" s="188" t="s">
        <v>896</v>
      </c>
    </row>
    <row r="4" spans="1:4" x14ac:dyDescent="0.2">
      <c r="B4" t="s">
        <v>61</v>
      </c>
      <c r="C4" s="179">
        <f>IF('DOE25'!F665+'DOE25'!F670=0,0,ROUND('DOE25'!F672,0))</f>
        <v>12087</v>
      </c>
    </row>
    <row r="5" spans="1:4" x14ac:dyDescent="0.2">
      <c r="B5" t="s">
        <v>704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0</v>
      </c>
    </row>
    <row r="7" spans="1:4" x14ac:dyDescent="0.2">
      <c r="B7" t="s">
        <v>705</v>
      </c>
      <c r="C7" s="179">
        <f>IF('DOE25'!I665+'DOE25'!I670=0,0,ROUND('DOE25'!I672,0))</f>
        <v>12087</v>
      </c>
    </row>
    <row r="9" spans="1:4" x14ac:dyDescent="0.2">
      <c r="A9" s="187" t="s">
        <v>94</v>
      </c>
      <c r="B9" s="188" t="s">
        <v>897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ROUND('DOE25'!L197+'DOE25'!L215+'DOE25'!L233+'DOE25'!L276+'DOE25'!L295+'DOE25'!L314,0)</f>
        <v>2347773</v>
      </c>
      <c r="D10" s="182">
        <f>ROUND((C10/$C$28)*100,1)</f>
        <v>56.2</v>
      </c>
    </row>
    <row r="11" spans="1:4" x14ac:dyDescent="0.2">
      <c r="A11">
        <v>1200</v>
      </c>
      <c r="B11" t="s">
        <v>707</v>
      </c>
      <c r="C11" s="179">
        <f>ROUND('DOE25'!L198+'DOE25'!L216+'DOE25'!L234+'DOE25'!L277+'DOE25'!L296+'DOE25'!L315,0)</f>
        <v>580037</v>
      </c>
      <c r="D11" s="182">
        <f>ROUND((C11/$C$28)*100,1)</f>
        <v>13.9</v>
      </c>
    </row>
    <row r="12" spans="1:4" x14ac:dyDescent="0.2">
      <c r="A12">
        <v>1300</v>
      </c>
      <c r="B12" t="s">
        <v>708</v>
      </c>
      <c r="C12" s="179">
        <f>ROUND('DOE25'!L199+'DOE25'!L217+'DOE25'!L235+'DOE25'!L278+'DOE25'!L297+'DOE25'!L316,0)</f>
        <v>0</v>
      </c>
      <c r="D12" s="182">
        <f>ROUND((C12/$C$28)*100,1)</f>
        <v>0</v>
      </c>
    </row>
    <row r="13" spans="1:4" x14ac:dyDescent="0.2">
      <c r="A13">
        <v>1400</v>
      </c>
      <c r="B13" t="s">
        <v>709</v>
      </c>
      <c r="C13" s="179">
        <f>ROUND('DOE25'!L200+'DOE25'!L218+'DOE25'!L236+'DOE25'!L279+'DOE25'!L298+'DOE25'!L317,0)</f>
        <v>17597</v>
      </c>
      <c r="D13" s="182">
        <f>ROUND((C13/$C$28)*100,1)</f>
        <v>0.4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ROUND('DOE25'!L202+'DOE25'!L220+'DOE25'!L238+'DOE25'!L281+'DOE25'!L300+'DOE25'!L319,0)</f>
        <v>220718</v>
      </c>
      <c r="D15" s="182">
        <f t="shared" ref="D15:D27" si="0">ROUND((C15/$C$28)*100,1)</f>
        <v>5.3</v>
      </c>
    </row>
    <row r="16" spans="1:4" x14ac:dyDescent="0.2">
      <c r="A16">
        <v>2200</v>
      </c>
      <c r="B16" t="s">
        <v>711</v>
      </c>
      <c r="C16" s="179">
        <f>ROUND('DOE25'!L203+'DOE25'!L221+'DOE25'!L239+'DOE25'!L282+'DOE25'!L301+'DOE25'!L320,0)</f>
        <v>79269</v>
      </c>
      <c r="D16" s="182">
        <f t="shared" si="0"/>
        <v>1.9</v>
      </c>
    </row>
    <row r="17" spans="1:4" x14ac:dyDescent="0.2">
      <c r="A17" s="183" t="s">
        <v>727</v>
      </c>
      <c r="B17" t="s">
        <v>742</v>
      </c>
      <c r="C17" s="179">
        <f>ROUND('DOE25'!L204+'DOE25'!L209+'DOE25'!L222+'DOE25'!L227+'DOE25'!L240+'DOE25'!L245+'DOE25'!L283+'DOE25'!L288+'DOE25'!L302+'DOE25'!L307+'DOE25'!L321+'DOE25'!L326,0)</f>
        <v>122619</v>
      </c>
      <c r="D17" s="182">
        <f t="shared" si="0"/>
        <v>2.9</v>
      </c>
    </row>
    <row r="18" spans="1:4" x14ac:dyDescent="0.2">
      <c r="A18">
        <v>2400</v>
      </c>
      <c r="B18" t="s">
        <v>715</v>
      </c>
      <c r="C18" s="179">
        <f>ROUND('DOE25'!L205+'DOE25'!L223+'DOE25'!L241+'DOE25'!L284+'DOE25'!L303+'DOE25'!L322,0)</f>
        <v>180058</v>
      </c>
      <c r="D18" s="182">
        <f t="shared" si="0"/>
        <v>4.3</v>
      </c>
    </row>
    <row r="19" spans="1:4" x14ac:dyDescent="0.2">
      <c r="A19">
        <v>2500</v>
      </c>
      <c r="B19" t="s">
        <v>712</v>
      </c>
      <c r="C19" s="179">
        <f>ROUND('DOE25'!L206+'DOE25'!L224+'DOE25'!L242+'DOE25'!L285+'DOE25'!L304+'DOE25'!L323,0)</f>
        <v>1798</v>
      </c>
      <c r="D19" s="182">
        <f t="shared" si="0"/>
        <v>0</v>
      </c>
    </row>
    <row r="20" spans="1:4" x14ac:dyDescent="0.2">
      <c r="A20">
        <v>2600</v>
      </c>
      <c r="B20" t="s">
        <v>713</v>
      </c>
      <c r="C20" s="179">
        <f>ROUND('DOE25'!L207+'DOE25'!L225+'DOE25'!L243+'DOE25'!L286+'DOE25'!L305+'DOE25'!L324,0)</f>
        <v>223713</v>
      </c>
      <c r="D20" s="182">
        <f t="shared" si="0"/>
        <v>5.4</v>
      </c>
    </row>
    <row r="21" spans="1:4" x14ac:dyDescent="0.2">
      <c r="A21">
        <v>2700</v>
      </c>
      <c r="B21" t="s">
        <v>714</v>
      </c>
      <c r="C21" s="179">
        <f>ROUND('DOE25'!L208+'DOE25'!L226+'DOE25'!L244+'DOE25'!L287+'DOE25'!L306+'DOE25'!L325,0)</f>
        <v>322944</v>
      </c>
      <c r="D21" s="182">
        <f t="shared" si="0"/>
        <v>7.7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ROUND('DOE25'!L261+'DOE25'!L342,0)</f>
        <v>0</v>
      </c>
      <c r="D25" s="182">
        <f t="shared" si="0"/>
        <v>0</v>
      </c>
    </row>
    <row r="26" spans="1:4" x14ac:dyDescent="0.2">
      <c r="A26" s="183" t="s">
        <v>721</v>
      </c>
      <c r="B26" t="s">
        <v>722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79284</v>
      </c>
      <c r="D27" s="182">
        <f t="shared" si="0"/>
        <v>1.9</v>
      </c>
    </row>
    <row r="28" spans="1:4" x14ac:dyDescent="0.2">
      <c r="B28" s="187" t="s">
        <v>723</v>
      </c>
      <c r="C28" s="180">
        <f>SUM(C10:C27)</f>
        <v>4175810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ROUND('DOE25'!L255+'DOE25'!L336+'DOE25'!L374+'DOE25'!L375+'DOE25'!L376+'DOE25'!L377+'DOE25'!L378+'DOE25'!L379+'DOE25'!L380,0)</f>
        <v>5700</v>
      </c>
    </row>
    <row r="30" spans="1:4" x14ac:dyDescent="0.2">
      <c r="B30" s="187" t="s">
        <v>729</v>
      </c>
      <c r="C30" s="180">
        <f>SUM(C28:C29)</f>
        <v>4181510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ROUND('DOE25'!L260+'DOE25'!L341,0)</f>
        <v>0</v>
      </c>
    </row>
    <row r="34" spans="1:4" x14ac:dyDescent="0.2">
      <c r="A34" s="187" t="s">
        <v>94</v>
      </c>
      <c r="B34" s="188" t="s">
        <v>898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ROUND('DOE25'!F60+'DOE25'!G60+'DOE25'!H60+'DOE25'!I60+'DOE25'!J60,0)</f>
        <v>2682730</v>
      </c>
      <c r="D35" s="182">
        <f t="shared" ref="D35:D40" si="1">ROUND((C35/$C$41)*100,1)</f>
        <v>62.5</v>
      </c>
    </row>
    <row r="36" spans="1:4" x14ac:dyDescent="0.2">
      <c r="B36" s="185" t="s">
        <v>743</v>
      </c>
      <c r="C36" s="179">
        <f>SUM('DOE25'!F112:J112)-SUM('DOE25'!G97:G110)+('DOE25'!F174+'DOE25'!F175+'DOE25'!I174+'DOE25'!I175)-C35</f>
        <v>3152</v>
      </c>
      <c r="D36" s="182">
        <f t="shared" si="1"/>
        <v>0.1</v>
      </c>
    </row>
    <row r="37" spans="1:4" x14ac:dyDescent="0.2">
      <c r="A37" s="183" t="s">
        <v>851</v>
      </c>
      <c r="B37" s="185" t="s">
        <v>732</v>
      </c>
      <c r="C37" s="179">
        <f>ROUND('DOE25'!F117+'DOE25'!F118,0)</f>
        <v>1455690</v>
      </c>
      <c r="D37" s="182">
        <f t="shared" si="1"/>
        <v>33.9</v>
      </c>
    </row>
    <row r="38" spans="1:4" x14ac:dyDescent="0.2">
      <c r="A38" s="183" t="s">
        <v>738</v>
      </c>
      <c r="B38" s="185" t="s">
        <v>733</v>
      </c>
      <c r="C38" s="179">
        <f>ROUND(SUM('DOE25'!F140:J140)-SUM('DOE25'!F117:F119),0)</f>
        <v>5438</v>
      </c>
      <c r="D38" s="182">
        <f t="shared" si="1"/>
        <v>0.1</v>
      </c>
    </row>
    <row r="39" spans="1:4" x14ac:dyDescent="0.2">
      <c r="A39">
        <v>4000</v>
      </c>
      <c r="B39" s="185" t="s">
        <v>734</v>
      </c>
      <c r="C39" s="179">
        <f>ROUND('DOE25'!F169+'DOE25'!G169+'DOE25'!H169+'DOE25'!I169,0)</f>
        <v>147781</v>
      </c>
      <c r="D39" s="182">
        <f t="shared" si="1"/>
        <v>3.4</v>
      </c>
    </row>
    <row r="40" spans="1:4" x14ac:dyDescent="0.2">
      <c r="A40" s="183" t="s">
        <v>739</v>
      </c>
      <c r="B40" s="185" t="s">
        <v>735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4294791</v>
      </c>
      <c r="D41" s="184">
        <f>SUM(D35:D40)</f>
        <v>100</v>
      </c>
    </row>
    <row r="42" spans="1:4" x14ac:dyDescent="0.2">
      <c r="A42" s="183" t="s">
        <v>741</v>
      </c>
      <c r="B42" s="185" t="s">
        <v>737</v>
      </c>
      <c r="C42" s="179">
        <f>ROUND('DOE25'!F173+'DOE25'!I173+'DOE25'!F176+'DOE25'!I176,0)</f>
        <v>0</v>
      </c>
    </row>
  </sheetData>
  <sheetProtection password="A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1:IV90"/>
  <sheetViews>
    <sheetView workbookViewId="0">
      <pane ySplit="3" topLeftCell="A14" activePane="bottomLeft" state="frozen"/>
      <selection activeCell="F46" sqref="F46"/>
      <selection pane="bottomLeft" sqref="A1:M46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4" t="s">
        <v>770</v>
      </c>
      <c r="B1" s="295"/>
      <c r="C1" s="295"/>
      <c r="D1" s="295"/>
      <c r="E1" s="295"/>
      <c r="F1" s="295"/>
      <c r="G1" s="295"/>
      <c r="H1" s="295"/>
      <c r="I1" s="295"/>
      <c r="J1" s="213"/>
      <c r="K1" s="213"/>
      <c r="L1" s="213"/>
      <c r="M1" s="214"/>
    </row>
    <row r="2" spans="1:26" ht="12.75" x14ac:dyDescent="0.2">
      <c r="A2" s="300" t="s">
        <v>767</v>
      </c>
      <c r="B2" s="301"/>
      <c r="C2" s="301"/>
      <c r="D2" s="301"/>
      <c r="E2" s="301"/>
      <c r="F2" s="298" t="str">
        <f>'DOE25'!A2</f>
        <v>ANDOVER SCHOOL DISTRICT</v>
      </c>
      <c r="G2" s="299"/>
      <c r="H2" s="299"/>
      <c r="I2" s="299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96" t="s">
        <v>771</v>
      </c>
      <c r="D3" s="296"/>
      <c r="E3" s="296"/>
      <c r="F3" s="296"/>
      <c r="G3" s="296"/>
      <c r="H3" s="296"/>
      <c r="I3" s="296"/>
      <c r="J3" s="296"/>
      <c r="K3" s="296"/>
      <c r="L3" s="296"/>
      <c r="M3" s="297"/>
    </row>
    <row r="4" spans="1:26" x14ac:dyDescent="0.2">
      <c r="A4" s="218"/>
      <c r="B4" s="219"/>
      <c r="C4" s="285"/>
      <c r="D4" s="285"/>
      <c r="E4" s="285"/>
      <c r="F4" s="285"/>
      <c r="G4" s="285"/>
      <c r="H4" s="285"/>
      <c r="I4" s="285"/>
      <c r="J4" s="285"/>
      <c r="K4" s="285"/>
      <c r="L4" s="285"/>
      <c r="M4" s="28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5"/>
      <c r="D5" s="285"/>
      <c r="E5" s="285"/>
      <c r="F5" s="285"/>
      <c r="G5" s="285"/>
      <c r="H5" s="285"/>
      <c r="I5" s="285"/>
      <c r="J5" s="285"/>
      <c r="K5" s="285"/>
      <c r="L5" s="285"/>
      <c r="M5" s="28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5"/>
      <c r="D6" s="285"/>
      <c r="E6" s="285"/>
      <c r="F6" s="285"/>
      <c r="G6" s="285"/>
      <c r="H6" s="285"/>
      <c r="I6" s="285"/>
      <c r="J6" s="285"/>
      <c r="K6" s="285"/>
      <c r="L6" s="285"/>
      <c r="M6" s="28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5"/>
      <c r="D7" s="285"/>
      <c r="E7" s="285"/>
      <c r="F7" s="285"/>
      <c r="G7" s="285"/>
      <c r="H7" s="285"/>
      <c r="I7" s="285"/>
      <c r="J7" s="285"/>
      <c r="K7" s="285"/>
      <c r="L7" s="285"/>
      <c r="M7" s="28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5"/>
      <c r="D8" s="285"/>
      <c r="E8" s="285"/>
      <c r="F8" s="285"/>
      <c r="G8" s="285"/>
      <c r="H8" s="285"/>
      <c r="I8" s="285"/>
      <c r="J8" s="285"/>
      <c r="K8" s="285"/>
      <c r="L8" s="285"/>
      <c r="M8" s="28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5"/>
      <c r="D9" s="285"/>
      <c r="E9" s="285"/>
      <c r="F9" s="285"/>
      <c r="G9" s="285"/>
      <c r="H9" s="285"/>
      <c r="I9" s="285"/>
      <c r="J9" s="285"/>
      <c r="K9" s="285"/>
      <c r="L9" s="285"/>
      <c r="M9" s="28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5"/>
      <c r="D10" s="285"/>
      <c r="E10" s="285"/>
      <c r="F10" s="285"/>
      <c r="G10" s="285"/>
      <c r="H10" s="285"/>
      <c r="I10" s="285"/>
      <c r="J10" s="285"/>
      <c r="K10" s="285"/>
      <c r="L10" s="285"/>
      <c r="M10" s="28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5"/>
      <c r="D11" s="285"/>
      <c r="E11" s="285"/>
      <c r="F11" s="285"/>
      <c r="G11" s="285"/>
      <c r="H11" s="285"/>
      <c r="I11" s="285"/>
      <c r="J11" s="285"/>
      <c r="K11" s="285"/>
      <c r="L11" s="285"/>
      <c r="M11" s="28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5"/>
      <c r="D12" s="285"/>
      <c r="E12" s="285"/>
      <c r="F12" s="285"/>
      <c r="G12" s="285"/>
      <c r="H12" s="285"/>
      <c r="I12" s="285"/>
      <c r="J12" s="285"/>
      <c r="K12" s="285"/>
      <c r="L12" s="285"/>
      <c r="M12" s="28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5"/>
      <c r="D13" s="285"/>
      <c r="E13" s="285"/>
      <c r="F13" s="285"/>
      <c r="G13" s="285"/>
      <c r="H13" s="285"/>
      <c r="I13" s="285"/>
      <c r="J13" s="285"/>
      <c r="K13" s="285"/>
      <c r="L13" s="285"/>
      <c r="M13" s="286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5"/>
      <c r="D14" s="285"/>
      <c r="E14" s="285"/>
      <c r="F14" s="285"/>
      <c r="G14" s="285"/>
      <c r="H14" s="285"/>
      <c r="I14" s="285"/>
      <c r="J14" s="285"/>
      <c r="K14" s="285"/>
      <c r="L14" s="285"/>
      <c r="M14" s="28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5"/>
      <c r="D15" s="285"/>
      <c r="E15" s="285"/>
      <c r="F15" s="285"/>
      <c r="G15" s="285"/>
      <c r="H15" s="285"/>
      <c r="I15" s="285"/>
      <c r="J15" s="285"/>
      <c r="K15" s="285"/>
      <c r="L15" s="285"/>
      <c r="M15" s="28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5"/>
      <c r="D16" s="285"/>
      <c r="E16" s="285"/>
      <c r="F16" s="285"/>
      <c r="G16" s="285"/>
      <c r="H16" s="285"/>
      <c r="I16" s="285"/>
      <c r="J16" s="285"/>
      <c r="K16" s="285"/>
      <c r="L16" s="285"/>
      <c r="M16" s="28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5"/>
      <c r="D17" s="285"/>
      <c r="E17" s="285"/>
      <c r="F17" s="285"/>
      <c r="G17" s="285"/>
      <c r="H17" s="285"/>
      <c r="I17" s="285"/>
      <c r="J17" s="285"/>
      <c r="K17" s="285"/>
      <c r="L17" s="285"/>
      <c r="M17" s="28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5"/>
      <c r="D18" s="285"/>
      <c r="E18" s="285"/>
      <c r="F18" s="285"/>
      <c r="G18" s="285"/>
      <c r="H18" s="285"/>
      <c r="I18" s="285"/>
      <c r="J18" s="285"/>
      <c r="K18" s="285"/>
      <c r="L18" s="285"/>
      <c r="M18" s="28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5"/>
      <c r="D19" s="285"/>
      <c r="E19" s="285"/>
      <c r="F19" s="285"/>
      <c r="G19" s="285"/>
      <c r="H19" s="285"/>
      <c r="I19" s="285"/>
      <c r="J19" s="285"/>
      <c r="K19" s="285"/>
      <c r="L19" s="285"/>
      <c r="M19" s="28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5"/>
      <c r="D20" s="285"/>
      <c r="E20" s="285"/>
      <c r="F20" s="285"/>
      <c r="G20" s="285"/>
      <c r="H20" s="285"/>
      <c r="I20" s="285"/>
      <c r="J20" s="285"/>
      <c r="K20" s="285"/>
      <c r="L20" s="285"/>
      <c r="M20" s="28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5"/>
      <c r="D21" s="285"/>
      <c r="E21" s="285"/>
      <c r="F21" s="285"/>
      <c r="G21" s="285"/>
      <c r="H21" s="285"/>
      <c r="I21" s="285"/>
      <c r="J21" s="285"/>
      <c r="K21" s="285"/>
      <c r="L21" s="285"/>
      <c r="M21" s="28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5"/>
      <c r="D22" s="285"/>
      <c r="E22" s="285"/>
      <c r="F22" s="285"/>
      <c r="G22" s="285"/>
      <c r="H22" s="285"/>
      <c r="I22" s="285"/>
      <c r="J22" s="285"/>
      <c r="K22" s="285"/>
      <c r="L22" s="285"/>
      <c r="M22" s="28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5"/>
      <c r="D23" s="285"/>
      <c r="E23" s="285"/>
      <c r="F23" s="285"/>
      <c r="G23" s="285"/>
      <c r="H23" s="285"/>
      <c r="I23" s="285"/>
      <c r="J23" s="285"/>
      <c r="K23" s="285"/>
      <c r="L23" s="285"/>
      <c r="M23" s="28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5"/>
      <c r="D24" s="285"/>
      <c r="E24" s="285"/>
      <c r="F24" s="285"/>
      <c r="G24" s="285"/>
      <c r="H24" s="285"/>
      <c r="I24" s="285"/>
      <c r="J24" s="285"/>
      <c r="K24" s="285"/>
      <c r="L24" s="285"/>
      <c r="M24" s="28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5"/>
      <c r="D25" s="285"/>
      <c r="E25" s="285"/>
      <c r="F25" s="285"/>
      <c r="G25" s="285"/>
      <c r="H25" s="285"/>
      <c r="I25" s="285"/>
      <c r="J25" s="285"/>
      <c r="K25" s="285"/>
      <c r="L25" s="285"/>
      <c r="M25" s="28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5"/>
      <c r="D26" s="285"/>
      <c r="E26" s="285"/>
      <c r="F26" s="285"/>
      <c r="G26" s="285"/>
      <c r="H26" s="285"/>
      <c r="I26" s="285"/>
      <c r="J26" s="285"/>
      <c r="K26" s="285"/>
      <c r="L26" s="285"/>
      <c r="M26" s="28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5"/>
      <c r="D27" s="285"/>
      <c r="E27" s="285"/>
      <c r="F27" s="285"/>
      <c r="G27" s="285"/>
      <c r="H27" s="285"/>
      <c r="I27" s="285"/>
      <c r="J27" s="285"/>
      <c r="K27" s="285"/>
      <c r="L27" s="285"/>
      <c r="M27" s="28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5"/>
      <c r="D28" s="285"/>
      <c r="E28" s="285"/>
      <c r="F28" s="285"/>
      <c r="G28" s="285"/>
      <c r="H28" s="285"/>
      <c r="I28" s="285"/>
      <c r="J28" s="285"/>
      <c r="K28" s="285"/>
      <c r="L28" s="285"/>
      <c r="M28" s="28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5"/>
      <c r="D29" s="285"/>
      <c r="E29" s="285"/>
      <c r="F29" s="285"/>
      <c r="G29" s="285"/>
      <c r="H29" s="285"/>
      <c r="I29" s="285"/>
      <c r="J29" s="285"/>
      <c r="K29" s="285"/>
      <c r="L29" s="285"/>
      <c r="M29" s="286"/>
      <c r="N29" s="211"/>
      <c r="O29" s="211"/>
      <c r="P29" s="291"/>
      <c r="Q29" s="291"/>
      <c r="R29" s="291"/>
      <c r="S29" s="291"/>
      <c r="T29" s="291"/>
      <c r="U29" s="291"/>
      <c r="V29" s="291"/>
      <c r="W29" s="291"/>
      <c r="X29" s="291"/>
      <c r="Y29" s="291"/>
      <c r="Z29" s="291"/>
      <c r="AA29" s="207"/>
      <c r="AB29" s="207"/>
      <c r="AC29" s="290"/>
      <c r="AD29" s="290"/>
      <c r="AE29" s="290"/>
      <c r="AF29" s="290"/>
      <c r="AG29" s="290"/>
      <c r="AH29" s="290"/>
      <c r="AI29" s="290"/>
      <c r="AJ29" s="290"/>
      <c r="AK29" s="290"/>
      <c r="AL29" s="290"/>
      <c r="AM29" s="290"/>
      <c r="AN29" s="207"/>
      <c r="AO29" s="207"/>
      <c r="AP29" s="290"/>
      <c r="AQ29" s="290"/>
      <c r="AR29" s="290"/>
      <c r="AS29" s="290"/>
      <c r="AT29" s="290"/>
      <c r="AU29" s="290"/>
      <c r="AV29" s="290"/>
      <c r="AW29" s="290"/>
      <c r="AX29" s="290"/>
      <c r="AY29" s="290"/>
      <c r="AZ29" s="290"/>
      <c r="BA29" s="207"/>
      <c r="BB29" s="207"/>
      <c r="BC29" s="290"/>
      <c r="BD29" s="290"/>
      <c r="BE29" s="290"/>
      <c r="BF29" s="290"/>
      <c r="BG29" s="290"/>
      <c r="BH29" s="290"/>
      <c r="BI29" s="290"/>
      <c r="BJ29" s="290"/>
      <c r="BK29" s="290"/>
      <c r="BL29" s="290"/>
      <c r="BM29" s="290"/>
      <c r="BN29" s="207"/>
      <c r="BO29" s="207"/>
      <c r="BP29" s="290"/>
      <c r="BQ29" s="290"/>
      <c r="BR29" s="290"/>
      <c r="BS29" s="290"/>
      <c r="BT29" s="290"/>
      <c r="BU29" s="290"/>
      <c r="BV29" s="290"/>
      <c r="BW29" s="290"/>
      <c r="BX29" s="290"/>
      <c r="BY29" s="290"/>
      <c r="BZ29" s="290"/>
      <c r="CA29" s="207"/>
      <c r="CB29" s="207"/>
      <c r="CC29" s="290"/>
      <c r="CD29" s="290"/>
      <c r="CE29" s="290"/>
      <c r="CF29" s="290"/>
      <c r="CG29" s="290"/>
      <c r="CH29" s="290"/>
      <c r="CI29" s="290"/>
      <c r="CJ29" s="290"/>
      <c r="CK29" s="290"/>
      <c r="CL29" s="290"/>
      <c r="CM29" s="290"/>
      <c r="CN29" s="207"/>
      <c r="CO29" s="207"/>
      <c r="CP29" s="290"/>
      <c r="CQ29" s="290"/>
      <c r="CR29" s="290"/>
      <c r="CS29" s="290"/>
      <c r="CT29" s="290"/>
      <c r="CU29" s="290"/>
      <c r="CV29" s="290"/>
      <c r="CW29" s="290"/>
      <c r="CX29" s="290"/>
      <c r="CY29" s="290"/>
      <c r="CZ29" s="290"/>
      <c r="DA29" s="207"/>
      <c r="DB29" s="207"/>
      <c r="DC29" s="290"/>
      <c r="DD29" s="290"/>
      <c r="DE29" s="290"/>
      <c r="DF29" s="290"/>
      <c r="DG29" s="290"/>
      <c r="DH29" s="290"/>
      <c r="DI29" s="290"/>
      <c r="DJ29" s="290"/>
      <c r="DK29" s="290"/>
      <c r="DL29" s="290"/>
      <c r="DM29" s="290"/>
      <c r="DN29" s="207"/>
      <c r="DO29" s="207"/>
      <c r="DP29" s="290"/>
      <c r="DQ29" s="290"/>
      <c r="DR29" s="290"/>
      <c r="DS29" s="290"/>
      <c r="DT29" s="290"/>
      <c r="DU29" s="290"/>
      <c r="DV29" s="290"/>
      <c r="DW29" s="290"/>
      <c r="DX29" s="290"/>
      <c r="DY29" s="290"/>
      <c r="DZ29" s="290"/>
      <c r="EA29" s="207"/>
      <c r="EB29" s="207"/>
      <c r="EC29" s="290"/>
      <c r="ED29" s="290"/>
      <c r="EE29" s="290"/>
      <c r="EF29" s="290"/>
      <c r="EG29" s="290"/>
      <c r="EH29" s="290"/>
      <c r="EI29" s="290"/>
      <c r="EJ29" s="290"/>
      <c r="EK29" s="290"/>
      <c r="EL29" s="290"/>
      <c r="EM29" s="290"/>
      <c r="EN29" s="207"/>
      <c r="EO29" s="207"/>
      <c r="EP29" s="290"/>
      <c r="EQ29" s="290"/>
      <c r="ER29" s="290"/>
      <c r="ES29" s="290"/>
      <c r="ET29" s="290"/>
      <c r="EU29" s="290"/>
      <c r="EV29" s="290"/>
      <c r="EW29" s="290"/>
      <c r="EX29" s="290"/>
      <c r="EY29" s="290"/>
      <c r="EZ29" s="290"/>
      <c r="FA29" s="207"/>
      <c r="FB29" s="207"/>
      <c r="FC29" s="290"/>
      <c r="FD29" s="290"/>
      <c r="FE29" s="290"/>
      <c r="FF29" s="290"/>
      <c r="FG29" s="290"/>
      <c r="FH29" s="290"/>
      <c r="FI29" s="290"/>
      <c r="FJ29" s="290"/>
      <c r="FK29" s="290"/>
      <c r="FL29" s="290"/>
      <c r="FM29" s="290"/>
      <c r="FN29" s="207"/>
      <c r="FO29" s="207"/>
      <c r="FP29" s="290"/>
      <c r="FQ29" s="290"/>
      <c r="FR29" s="290"/>
      <c r="FS29" s="290"/>
      <c r="FT29" s="290"/>
      <c r="FU29" s="290"/>
      <c r="FV29" s="290"/>
      <c r="FW29" s="290"/>
      <c r="FX29" s="290"/>
      <c r="FY29" s="290"/>
      <c r="FZ29" s="290"/>
      <c r="GA29" s="207"/>
      <c r="GB29" s="207"/>
      <c r="GC29" s="290"/>
      <c r="GD29" s="290"/>
      <c r="GE29" s="290"/>
      <c r="GF29" s="290"/>
      <c r="GG29" s="290"/>
      <c r="GH29" s="290"/>
      <c r="GI29" s="290"/>
      <c r="GJ29" s="290"/>
      <c r="GK29" s="290"/>
      <c r="GL29" s="290"/>
      <c r="GM29" s="290"/>
      <c r="GN29" s="207"/>
      <c r="GO29" s="207"/>
      <c r="GP29" s="290"/>
      <c r="GQ29" s="290"/>
      <c r="GR29" s="290"/>
      <c r="GS29" s="290"/>
      <c r="GT29" s="290"/>
      <c r="GU29" s="290"/>
      <c r="GV29" s="290"/>
      <c r="GW29" s="290"/>
      <c r="GX29" s="290"/>
      <c r="GY29" s="290"/>
      <c r="GZ29" s="290"/>
      <c r="HA29" s="207"/>
      <c r="HB29" s="207"/>
      <c r="HC29" s="290"/>
      <c r="HD29" s="290"/>
      <c r="HE29" s="290"/>
      <c r="HF29" s="290"/>
      <c r="HG29" s="290"/>
      <c r="HH29" s="290"/>
      <c r="HI29" s="290"/>
      <c r="HJ29" s="290"/>
      <c r="HK29" s="290"/>
      <c r="HL29" s="290"/>
      <c r="HM29" s="290"/>
      <c r="HN29" s="207"/>
      <c r="HO29" s="207"/>
      <c r="HP29" s="290"/>
      <c r="HQ29" s="290"/>
      <c r="HR29" s="290"/>
      <c r="HS29" s="290"/>
      <c r="HT29" s="290"/>
      <c r="HU29" s="290"/>
      <c r="HV29" s="290"/>
      <c r="HW29" s="290"/>
      <c r="HX29" s="290"/>
      <c r="HY29" s="290"/>
      <c r="HZ29" s="290"/>
      <c r="IA29" s="207"/>
      <c r="IB29" s="207"/>
      <c r="IC29" s="290"/>
      <c r="ID29" s="290"/>
      <c r="IE29" s="290"/>
      <c r="IF29" s="290"/>
      <c r="IG29" s="290"/>
      <c r="IH29" s="290"/>
      <c r="II29" s="290"/>
      <c r="IJ29" s="290"/>
      <c r="IK29" s="290"/>
      <c r="IL29" s="290"/>
      <c r="IM29" s="290"/>
      <c r="IN29" s="207"/>
      <c r="IO29" s="207"/>
      <c r="IP29" s="290"/>
      <c r="IQ29" s="290"/>
      <c r="IR29" s="290"/>
      <c r="IS29" s="290"/>
      <c r="IT29" s="290"/>
      <c r="IU29" s="290"/>
      <c r="IV29" s="290"/>
    </row>
    <row r="30" spans="1:256" x14ac:dyDescent="0.2">
      <c r="A30" s="218"/>
      <c r="B30" s="219"/>
      <c r="C30" s="285"/>
      <c r="D30" s="285"/>
      <c r="E30" s="285"/>
      <c r="F30" s="285"/>
      <c r="G30" s="285"/>
      <c r="H30" s="285"/>
      <c r="I30" s="285"/>
      <c r="J30" s="285"/>
      <c r="K30" s="285"/>
      <c r="L30" s="285"/>
      <c r="M30" s="286"/>
      <c r="N30" s="211"/>
      <c r="O30" s="211"/>
      <c r="P30" s="291"/>
      <c r="Q30" s="291"/>
      <c r="R30" s="291"/>
      <c r="S30" s="291"/>
      <c r="T30" s="291"/>
      <c r="U30" s="291"/>
      <c r="V30" s="291"/>
      <c r="W30" s="291"/>
      <c r="X30" s="291"/>
      <c r="Y30" s="291"/>
      <c r="Z30" s="291"/>
      <c r="AA30" s="207"/>
      <c r="AB30" s="207"/>
      <c r="AC30" s="290"/>
      <c r="AD30" s="290"/>
      <c r="AE30" s="290"/>
      <c r="AF30" s="290"/>
      <c r="AG30" s="290"/>
      <c r="AH30" s="290"/>
      <c r="AI30" s="290"/>
      <c r="AJ30" s="290"/>
      <c r="AK30" s="290"/>
      <c r="AL30" s="290"/>
      <c r="AM30" s="290"/>
      <c r="AN30" s="207"/>
      <c r="AO30" s="207"/>
      <c r="AP30" s="290"/>
      <c r="AQ30" s="290"/>
      <c r="AR30" s="290"/>
      <c r="AS30" s="290"/>
      <c r="AT30" s="290"/>
      <c r="AU30" s="290"/>
      <c r="AV30" s="290"/>
      <c r="AW30" s="290"/>
      <c r="AX30" s="290"/>
      <c r="AY30" s="290"/>
      <c r="AZ30" s="290"/>
      <c r="BA30" s="207"/>
      <c r="BB30" s="207"/>
      <c r="BC30" s="290"/>
      <c r="BD30" s="290"/>
      <c r="BE30" s="290"/>
      <c r="BF30" s="290"/>
      <c r="BG30" s="290"/>
      <c r="BH30" s="290"/>
      <c r="BI30" s="290"/>
      <c r="BJ30" s="290"/>
      <c r="BK30" s="290"/>
      <c r="BL30" s="290"/>
      <c r="BM30" s="290"/>
      <c r="BN30" s="207"/>
      <c r="BO30" s="207"/>
      <c r="BP30" s="290"/>
      <c r="BQ30" s="290"/>
      <c r="BR30" s="290"/>
      <c r="BS30" s="290"/>
      <c r="BT30" s="290"/>
      <c r="BU30" s="290"/>
      <c r="BV30" s="290"/>
      <c r="BW30" s="290"/>
      <c r="BX30" s="290"/>
      <c r="BY30" s="290"/>
      <c r="BZ30" s="290"/>
      <c r="CA30" s="207"/>
      <c r="CB30" s="207"/>
      <c r="CC30" s="290"/>
      <c r="CD30" s="290"/>
      <c r="CE30" s="290"/>
      <c r="CF30" s="290"/>
      <c r="CG30" s="290"/>
      <c r="CH30" s="290"/>
      <c r="CI30" s="290"/>
      <c r="CJ30" s="290"/>
      <c r="CK30" s="290"/>
      <c r="CL30" s="290"/>
      <c r="CM30" s="290"/>
      <c r="CN30" s="207"/>
      <c r="CO30" s="207"/>
      <c r="CP30" s="290"/>
      <c r="CQ30" s="290"/>
      <c r="CR30" s="290"/>
      <c r="CS30" s="290"/>
      <c r="CT30" s="290"/>
      <c r="CU30" s="290"/>
      <c r="CV30" s="290"/>
      <c r="CW30" s="290"/>
      <c r="CX30" s="290"/>
      <c r="CY30" s="290"/>
      <c r="CZ30" s="290"/>
      <c r="DA30" s="207"/>
      <c r="DB30" s="207"/>
      <c r="DC30" s="290"/>
      <c r="DD30" s="290"/>
      <c r="DE30" s="290"/>
      <c r="DF30" s="290"/>
      <c r="DG30" s="290"/>
      <c r="DH30" s="290"/>
      <c r="DI30" s="290"/>
      <c r="DJ30" s="290"/>
      <c r="DK30" s="290"/>
      <c r="DL30" s="290"/>
      <c r="DM30" s="290"/>
      <c r="DN30" s="207"/>
      <c r="DO30" s="207"/>
      <c r="DP30" s="290"/>
      <c r="DQ30" s="290"/>
      <c r="DR30" s="290"/>
      <c r="DS30" s="290"/>
      <c r="DT30" s="290"/>
      <c r="DU30" s="290"/>
      <c r="DV30" s="290"/>
      <c r="DW30" s="290"/>
      <c r="DX30" s="290"/>
      <c r="DY30" s="290"/>
      <c r="DZ30" s="290"/>
      <c r="EA30" s="207"/>
      <c r="EB30" s="207"/>
      <c r="EC30" s="290"/>
      <c r="ED30" s="290"/>
      <c r="EE30" s="290"/>
      <c r="EF30" s="290"/>
      <c r="EG30" s="290"/>
      <c r="EH30" s="290"/>
      <c r="EI30" s="290"/>
      <c r="EJ30" s="290"/>
      <c r="EK30" s="290"/>
      <c r="EL30" s="290"/>
      <c r="EM30" s="290"/>
      <c r="EN30" s="207"/>
      <c r="EO30" s="207"/>
      <c r="EP30" s="290"/>
      <c r="EQ30" s="290"/>
      <c r="ER30" s="290"/>
      <c r="ES30" s="290"/>
      <c r="ET30" s="290"/>
      <c r="EU30" s="290"/>
      <c r="EV30" s="290"/>
      <c r="EW30" s="290"/>
      <c r="EX30" s="290"/>
      <c r="EY30" s="290"/>
      <c r="EZ30" s="290"/>
      <c r="FA30" s="207"/>
      <c r="FB30" s="207"/>
      <c r="FC30" s="290"/>
      <c r="FD30" s="290"/>
      <c r="FE30" s="290"/>
      <c r="FF30" s="290"/>
      <c r="FG30" s="290"/>
      <c r="FH30" s="290"/>
      <c r="FI30" s="290"/>
      <c r="FJ30" s="290"/>
      <c r="FK30" s="290"/>
      <c r="FL30" s="290"/>
      <c r="FM30" s="290"/>
      <c r="FN30" s="207"/>
      <c r="FO30" s="207"/>
      <c r="FP30" s="290"/>
      <c r="FQ30" s="290"/>
      <c r="FR30" s="290"/>
      <c r="FS30" s="290"/>
      <c r="FT30" s="290"/>
      <c r="FU30" s="290"/>
      <c r="FV30" s="290"/>
      <c r="FW30" s="290"/>
      <c r="FX30" s="290"/>
      <c r="FY30" s="290"/>
      <c r="FZ30" s="290"/>
      <c r="GA30" s="207"/>
      <c r="GB30" s="207"/>
      <c r="GC30" s="290"/>
      <c r="GD30" s="290"/>
      <c r="GE30" s="290"/>
      <c r="GF30" s="290"/>
      <c r="GG30" s="290"/>
      <c r="GH30" s="290"/>
      <c r="GI30" s="290"/>
      <c r="GJ30" s="290"/>
      <c r="GK30" s="290"/>
      <c r="GL30" s="290"/>
      <c r="GM30" s="290"/>
      <c r="GN30" s="207"/>
      <c r="GO30" s="207"/>
      <c r="GP30" s="290"/>
      <c r="GQ30" s="290"/>
      <c r="GR30" s="290"/>
      <c r="GS30" s="290"/>
      <c r="GT30" s="290"/>
      <c r="GU30" s="290"/>
      <c r="GV30" s="290"/>
      <c r="GW30" s="290"/>
      <c r="GX30" s="290"/>
      <c r="GY30" s="290"/>
      <c r="GZ30" s="290"/>
      <c r="HA30" s="207"/>
      <c r="HB30" s="207"/>
      <c r="HC30" s="290"/>
      <c r="HD30" s="290"/>
      <c r="HE30" s="290"/>
      <c r="HF30" s="290"/>
      <c r="HG30" s="290"/>
      <c r="HH30" s="290"/>
      <c r="HI30" s="290"/>
      <c r="HJ30" s="290"/>
      <c r="HK30" s="290"/>
      <c r="HL30" s="290"/>
      <c r="HM30" s="290"/>
      <c r="HN30" s="207"/>
      <c r="HO30" s="207"/>
      <c r="HP30" s="290"/>
      <c r="HQ30" s="290"/>
      <c r="HR30" s="290"/>
      <c r="HS30" s="290"/>
      <c r="HT30" s="290"/>
      <c r="HU30" s="290"/>
      <c r="HV30" s="290"/>
      <c r="HW30" s="290"/>
      <c r="HX30" s="290"/>
      <c r="HY30" s="290"/>
      <c r="HZ30" s="290"/>
      <c r="IA30" s="207"/>
      <c r="IB30" s="207"/>
      <c r="IC30" s="290"/>
      <c r="ID30" s="290"/>
      <c r="IE30" s="290"/>
      <c r="IF30" s="290"/>
      <c r="IG30" s="290"/>
      <c r="IH30" s="290"/>
      <c r="II30" s="290"/>
      <c r="IJ30" s="290"/>
      <c r="IK30" s="290"/>
      <c r="IL30" s="290"/>
      <c r="IM30" s="290"/>
      <c r="IN30" s="207"/>
      <c r="IO30" s="207"/>
      <c r="IP30" s="290"/>
      <c r="IQ30" s="290"/>
      <c r="IR30" s="290"/>
      <c r="IS30" s="290"/>
      <c r="IT30" s="290"/>
      <c r="IU30" s="290"/>
      <c r="IV30" s="290"/>
    </row>
    <row r="31" spans="1:256" x14ac:dyDescent="0.2">
      <c r="A31" s="218"/>
      <c r="B31" s="219"/>
      <c r="C31" s="285"/>
      <c r="D31" s="285"/>
      <c r="E31" s="285"/>
      <c r="F31" s="285"/>
      <c r="G31" s="285"/>
      <c r="H31" s="285"/>
      <c r="I31" s="285"/>
      <c r="J31" s="285"/>
      <c r="K31" s="285"/>
      <c r="L31" s="285"/>
      <c r="M31" s="286"/>
      <c r="N31" s="211"/>
      <c r="O31" s="211"/>
      <c r="P31" s="291"/>
      <c r="Q31" s="291"/>
      <c r="R31" s="291"/>
      <c r="S31" s="291"/>
      <c r="T31" s="291"/>
      <c r="U31" s="291"/>
      <c r="V31" s="291"/>
      <c r="W31" s="291"/>
      <c r="X31" s="291"/>
      <c r="Y31" s="291"/>
      <c r="Z31" s="291"/>
      <c r="AA31" s="207"/>
      <c r="AB31" s="207"/>
      <c r="AC31" s="290"/>
      <c r="AD31" s="290"/>
      <c r="AE31" s="290"/>
      <c r="AF31" s="290"/>
      <c r="AG31" s="290"/>
      <c r="AH31" s="290"/>
      <c r="AI31" s="290"/>
      <c r="AJ31" s="290"/>
      <c r="AK31" s="290"/>
      <c r="AL31" s="290"/>
      <c r="AM31" s="290"/>
      <c r="AN31" s="207"/>
      <c r="AO31" s="207"/>
      <c r="AP31" s="290"/>
      <c r="AQ31" s="290"/>
      <c r="AR31" s="290"/>
      <c r="AS31" s="290"/>
      <c r="AT31" s="290"/>
      <c r="AU31" s="290"/>
      <c r="AV31" s="290"/>
      <c r="AW31" s="290"/>
      <c r="AX31" s="290"/>
      <c r="AY31" s="290"/>
      <c r="AZ31" s="290"/>
      <c r="BA31" s="207"/>
      <c r="BB31" s="207"/>
      <c r="BC31" s="290"/>
      <c r="BD31" s="290"/>
      <c r="BE31" s="290"/>
      <c r="BF31" s="290"/>
      <c r="BG31" s="290"/>
      <c r="BH31" s="290"/>
      <c r="BI31" s="290"/>
      <c r="BJ31" s="290"/>
      <c r="BK31" s="290"/>
      <c r="BL31" s="290"/>
      <c r="BM31" s="290"/>
      <c r="BN31" s="207"/>
      <c r="BO31" s="207"/>
      <c r="BP31" s="290"/>
      <c r="BQ31" s="290"/>
      <c r="BR31" s="290"/>
      <c r="BS31" s="290"/>
      <c r="BT31" s="290"/>
      <c r="BU31" s="290"/>
      <c r="BV31" s="290"/>
      <c r="BW31" s="290"/>
      <c r="BX31" s="290"/>
      <c r="BY31" s="290"/>
      <c r="BZ31" s="290"/>
      <c r="CA31" s="207"/>
      <c r="CB31" s="207"/>
      <c r="CC31" s="290"/>
      <c r="CD31" s="290"/>
      <c r="CE31" s="290"/>
      <c r="CF31" s="290"/>
      <c r="CG31" s="290"/>
      <c r="CH31" s="290"/>
      <c r="CI31" s="290"/>
      <c r="CJ31" s="290"/>
      <c r="CK31" s="290"/>
      <c r="CL31" s="290"/>
      <c r="CM31" s="290"/>
      <c r="CN31" s="207"/>
      <c r="CO31" s="207"/>
      <c r="CP31" s="290"/>
      <c r="CQ31" s="290"/>
      <c r="CR31" s="290"/>
      <c r="CS31" s="290"/>
      <c r="CT31" s="290"/>
      <c r="CU31" s="290"/>
      <c r="CV31" s="290"/>
      <c r="CW31" s="290"/>
      <c r="CX31" s="290"/>
      <c r="CY31" s="290"/>
      <c r="CZ31" s="290"/>
      <c r="DA31" s="207"/>
      <c r="DB31" s="207"/>
      <c r="DC31" s="290"/>
      <c r="DD31" s="290"/>
      <c r="DE31" s="290"/>
      <c r="DF31" s="290"/>
      <c r="DG31" s="290"/>
      <c r="DH31" s="290"/>
      <c r="DI31" s="290"/>
      <c r="DJ31" s="290"/>
      <c r="DK31" s="290"/>
      <c r="DL31" s="290"/>
      <c r="DM31" s="290"/>
      <c r="DN31" s="207"/>
      <c r="DO31" s="207"/>
      <c r="DP31" s="290"/>
      <c r="DQ31" s="290"/>
      <c r="DR31" s="290"/>
      <c r="DS31" s="290"/>
      <c r="DT31" s="290"/>
      <c r="DU31" s="290"/>
      <c r="DV31" s="290"/>
      <c r="DW31" s="290"/>
      <c r="DX31" s="290"/>
      <c r="DY31" s="290"/>
      <c r="DZ31" s="290"/>
      <c r="EA31" s="207"/>
      <c r="EB31" s="207"/>
      <c r="EC31" s="290"/>
      <c r="ED31" s="290"/>
      <c r="EE31" s="290"/>
      <c r="EF31" s="290"/>
      <c r="EG31" s="290"/>
      <c r="EH31" s="290"/>
      <c r="EI31" s="290"/>
      <c r="EJ31" s="290"/>
      <c r="EK31" s="290"/>
      <c r="EL31" s="290"/>
      <c r="EM31" s="290"/>
      <c r="EN31" s="207"/>
      <c r="EO31" s="207"/>
      <c r="EP31" s="290"/>
      <c r="EQ31" s="290"/>
      <c r="ER31" s="290"/>
      <c r="ES31" s="290"/>
      <c r="ET31" s="290"/>
      <c r="EU31" s="290"/>
      <c r="EV31" s="290"/>
      <c r="EW31" s="290"/>
      <c r="EX31" s="290"/>
      <c r="EY31" s="290"/>
      <c r="EZ31" s="290"/>
      <c r="FA31" s="207"/>
      <c r="FB31" s="207"/>
      <c r="FC31" s="290"/>
      <c r="FD31" s="290"/>
      <c r="FE31" s="290"/>
      <c r="FF31" s="290"/>
      <c r="FG31" s="290"/>
      <c r="FH31" s="290"/>
      <c r="FI31" s="290"/>
      <c r="FJ31" s="290"/>
      <c r="FK31" s="290"/>
      <c r="FL31" s="290"/>
      <c r="FM31" s="290"/>
      <c r="FN31" s="207"/>
      <c r="FO31" s="207"/>
      <c r="FP31" s="290"/>
      <c r="FQ31" s="290"/>
      <c r="FR31" s="290"/>
      <c r="FS31" s="290"/>
      <c r="FT31" s="290"/>
      <c r="FU31" s="290"/>
      <c r="FV31" s="290"/>
      <c r="FW31" s="290"/>
      <c r="FX31" s="290"/>
      <c r="FY31" s="290"/>
      <c r="FZ31" s="290"/>
      <c r="GA31" s="207"/>
      <c r="GB31" s="207"/>
      <c r="GC31" s="290"/>
      <c r="GD31" s="290"/>
      <c r="GE31" s="290"/>
      <c r="GF31" s="290"/>
      <c r="GG31" s="290"/>
      <c r="GH31" s="290"/>
      <c r="GI31" s="290"/>
      <c r="GJ31" s="290"/>
      <c r="GK31" s="290"/>
      <c r="GL31" s="290"/>
      <c r="GM31" s="290"/>
      <c r="GN31" s="207"/>
      <c r="GO31" s="207"/>
      <c r="GP31" s="290"/>
      <c r="GQ31" s="290"/>
      <c r="GR31" s="290"/>
      <c r="GS31" s="290"/>
      <c r="GT31" s="290"/>
      <c r="GU31" s="290"/>
      <c r="GV31" s="290"/>
      <c r="GW31" s="290"/>
      <c r="GX31" s="290"/>
      <c r="GY31" s="290"/>
      <c r="GZ31" s="290"/>
      <c r="HA31" s="207"/>
      <c r="HB31" s="207"/>
      <c r="HC31" s="290"/>
      <c r="HD31" s="290"/>
      <c r="HE31" s="290"/>
      <c r="HF31" s="290"/>
      <c r="HG31" s="290"/>
      <c r="HH31" s="290"/>
      <c r="HI31" s="290"/>
      <c r="HJ31" s="290"/>
      <c r="HK31" s="290"/>
      <c r="HL31" s="290"/>
      <c r="HM31" s="290"/>
      <c r="HN31" s="207"/>
      <c r="HO31" s="207"/>
      <c r="HP31" s="290"/>
      <c r="HQ31" s="290"/>
      <c r="HR31" s="290"/>
      <c r="HS31" s="290"/>
      <c r="HT31" s="290"/>
      <c r="HU31" s="290"/>
      <c r="HV31" s="290"/>
      <c r="HW31" s="290"/>
      <c r="HX31" s="290"/>
      <c r="HY31" s="290"/>
      <c r="HZ31" s="290"/>
      <c r="IA31" s="207"/>
      <c r="IB31" s="207"/>
      <c r="IC31" s="290"/>
      <c r="ID31" s="290"/>
      <c r="IE31" s="290"/>
      <c r="IF31" s="290"/>
      <c r="IG31" s="290"/>
      <c r="IH31" s="290"/>
      <c r="II31" s="290"/>
      <c r="IJ31" s="290"/>
      <c r="IK31" s="290"/>
      <c r="IL31" s="290"/>
      <c r="IM31" s="290"/>
      <c r="IN31" s="207"/>
      <c r="IO31" s="207"/>
      <c r="IP31" s="290"/>
      <c r="IQ31" s="290"/>
      <c r="IR31" s="290"/>
      <c r="IS31" s="290"/>
      <c r="IT31" s="290"/>
      <c r="IU31" s="290"/>
      <c r="IV31" s="290"/>
    </row>
    <row r="32" spans="1:256" x14ac:dyDescent="0.2">
      <c r="A32" s="218"/>
      <c r="B32" s="219"/>
      <c r="C32" s="285"/>
      <c r="D32" s="285"/>
      <c r="E32" s="285"/>
      <c r="F32" s="285"/>
      <c r="G32" s="285"/>
      <c r="H32" s="285"/>
      <c r="I32" s="285"/>
      <c r="J32" s="285"/>
      <c r="K32" s="285"/>
      <c r="L32" s="285"/>
      <c r="M32" s="286"/>
      <c r="N32" s="223"/>
      <c r="O32" s="223"/>
      <c r="P32" s="292"/>
      <c r="Q32" s="292"/>
      <c r="R32" s="292"/>
      <c r="S32" s="292"/>
      <c r="T32" s="292"/>
      <c r="U32" s="292"/>
      <c r="V32" s="292"/>
      <c r="W32" s="292"/>
      <c r="X32" s="292"/>
      <c r="Y32" s="292"/>
      <c r="Z32" s="293"/>
      <c r="AA32" s="218"/>
      <c r="AB32" s="219"/>
      <c r="AC32" s="285"/>
      <c r="AD32" s="285"/>
      <c r="AE32" s="285"/>
      <c r="AF32" s="285"/>
      <c r="AG32" s="285"/>
      <c r="AH32" s="285"/>
      <c r="AI32" s="285"/>
      <c r="AJ32" s="285"/>
      <c r="AK32" s="285"/>
      <c r="AL32" s="285"/>
      <c r="AM32" s="286"/>
      <c r="AN32" s="218"/>
      <c r="AO32" s="219"/>
      <c r="AP32" s="285"/>
      <c r="AQ32" s="285"/>
      <c r="AR32" s="285"/>
      <c r="AS32" s="285"/>
      <c r="AT32" s="285"/>
      <c r="AU32" s="285"/>
      <c r="AV32" s="285"/>
      <c r="AW32" s="285"/>
      <c r="AX32" s="285"/>
      <c r="AY32" s="285"/>
      <c r="AZ32" s="286"/>
      <c r="BA32" s="218"/>
      <c r="BB32" s="219"/>
      <c r="BC32" s="285"/>
      <c r="BD32" s="285"/>
      <c r="BE32" s="285"/>
      <c r="BF32" s="285"/>
      <c r="BG32" s="285"/>
      <c r="BH32" s="285"/>
      <c r="BI32" s="285"/>
      <c r="BJ32" s="285"/>
      <c r="BK32" s="285"/>
      <c r="BL32" s="285"/>
      <c r="BM32" s="286"/>
      <c r="BN32" s="218"/>
      <c r="BO32" s="219"/>
      <c r="BP32" s="285"/>
      <c r="BQ32" s="285"/>
      <c r="BR32" s="285"/>
      <c r="BS32" s="285"/>
      <c r="BT32" s="285"/>
      <c r="BU32" s="285"/>
      <c r="BV32" s="285"/>
      <c r="BW32" s="285"/>
      <c r="BX32" s="285"/>
      <c r="BY32" s="285"/>
      <c r="BZ32" s="286"/>
      <c r="CA32" s="218"/>
      <c r="CB32" s="219"/>
      <c r="CC32" s="285"/>
      <c r="CD32" s="285"/>
      <c r="CE32" s="285"/>
      <c r="CF32" s="285"/>
      <c r="CG32" s="285"/>
      <c r="CH32" s="285"/>
      <c r="CI32" s="285"/>
      <c r="CJ32" s="285"/>
      <c r="CK32" s="285"/>
      <c r="CL32" s="285"/>
      <c r="CM32" s="286"/>
      <c r="CN32" s="218"/>
      <c r="CO32" s="219"/>
      <c r="CP32" s="285"/>
      <c r="CQ32" s="285"/>
      <c r="CR32" s="285"/>
      <c r="CS32" s="285"/>
      <c r="CT32" s="285"/>
      <c r="CU32" s="285"/>
      <c r="CV32" s="285"/>
      <c r="CW32" s="285"/>
      <c r="CX32" s="285"/>
      <c r="CY32" s="285"/>
      <c r="CZ32" s="286"/>
      <c r="DA32" s="218"/>
      <c r="DB32" s="219"/>
      <c r="DC32" s="285"/>
      <c r="DD32" s="285"/>
      <c r="DE32" s="285"/>
      <c r="DF32" s="285"/>
      <c r="DG32" s="285"/>
      <c r="DH32" s="285"/>
      <c r="DI32" s="285"/>
      <c r="DJ32" s="285"/>
      <c r="DK32" s="285"/>
      <c r="DL32" s="285"/>
      <c r="DM32" s="286"/>
      <c r="DN32" s="218"/>
      <c r="DO32" s="219"/>
      <c r="DP32" s="285"/>
      <c r="DQ32" s="285"/>
      <c r="DR32" s="285"/>
      <c r="DS32" s="285"/>
      <c r="DT32" s="285"/>
      <c r="DU32" s="285"/>
      <c r="DV32" s="285"/>
      <c r="DW32" s="285"/>
      <c r="DX32" s="285"/>
      <c r="DY32" s="285"/>
      <c r="DZ32" s="286"/>
      <c r="EA32" s="218"/>
      <c r="EB32" s="219"/>
      <c r="EC32" s="285"/>
      <c r="ED32" s="285"/>
      <c r="EE32" s="285"/>
      <c r="EF32" s="285"/>
      <c r="EG32" s="285"/>
      <c r="EH32" s="285"/>
      <c r="EI32" s="285"/>
      <c r="EJ32" s="285"/>
      <c r="EK32" s="285"/>
      <c r="EL32" s="285"/>
      <c r="EM32" s="286"/>
      <c r="EN32" s="218"/>
      <c r="EO32" s="219"/>
      <c r="EP32" s="285"/>
      <c r="EQ32" s="285"/>
      <c r="ER32" s="285"/>
      <c r="ES32" s="285"/>
      <c r="ET32" s="285"/>
      <c r="EU32" s="285"/>
      <c r="EV32" s="285"/>
      <c r="EW32" s="285"/>
      <c r="EX32" s="285"/>
      <c r="EY32" s="285"/>
      <c r="EZ32" s="286"/>
      <c r="FA32" s="218"/>
      <c r="FB32" s="219"/>
      <c r="FC32" s="285"/>
      <c r="FD32" s="285"/>
      <c r="FE32" s="285"/>
      <c r="FF32" s="285"/>
      <c r="FG32" s="285"/>
      <c r="FH32" s="285"/>
      <c r="FI32" s="285"/>
      <c r="FJ32" s="285"/>
      <c r="FK32" s="285"/>
      <c r="FL32" s="285"/>
      <c r="FM32" s="286"/>
      <c r="FN32" s="218"/>
      <c r="FO32" s="219"/>
      <c r="FP32" s="285"/>
      <c r="FQ32" s="285"/>
      <c r="FR32" s="285"/>
      <c r="FS32" s="285"/>
      <c r="FT32" s="285"/>
      <c r="FU32" s="285"/>
      <c r="FV32" s="285"/>
      <c r="FW32" s="285"/>
      <c r="FX32" s="285"/>
      <c r="FY32" s="285"/>
      <c r="FZ32" s="286"/>
      <c r="GA32" s="218"/>
      <c r="GB32" s="219"/>
      <c r="GC32" s="285"/>
      <c r="GD32" s="285"/>
      <c r="GE32" s="285"/>
      <c r="GF32" s="285"/>
      <c r="GG32" s="285"/>
      <c r="GH32" s="285"/>
      <c r="GI32" s="285"/>
      <c r="GJ32" s="285"/>
      <c r="GK32" s="285"/>
      <c r="GL32" s="285"/>
      <c r="GM32" s="286"/>
      <c r="GN32" s="218"/>
      <c r="GO32" s="219"/>
      <c r="GP32" s="285"/>
      <c r="GQ32" s="285"/>
      <c r="GR32" s="285"/>
      <c r="GS32" s="285"/>
      <c r="GT32" s="285"/>
      <c r="GU32" s="285"/>
      <c r="GV32" s="285"/>
      <c r="GW32" s="285"/>
      <c r="GX32" s="285"/>
      <c r="GY32" s="285"/>
      <c r="GZ32" s="286"/>
      <c r="HA32" s="218"/>
      <c r="HB32" s="219"/>
      <c r="HC32" s="285"/>
      <c r="HD32" s="285"/>
      <c r="HE32" s="285"/>
      <c r="HF32" s="285"/>
      <c r="HG32" s="285"/>
      <c r="HH32" s="285"/>
      <c r="HI32" s="285"/>
      <c r="HJ32" s="285"/>
      <c r="HK32" s="285"/>
      <c r="HL32" s="285"/>
      <c r="HM32" s="286"/>
      <c r="HN32" s="218"/>
      <c r="HO32" s="219"/>
      <c r="HP32" s="285"/>
      <c r="HQ32" s="285"/>
      <c r="HR32" s="285"/>
      <c r="HS32" s="285"/>
      <c r="HT32" s="285"/>
      <c r="HU32" s="285"/>
      <c r="HV32" s="285"/>
      <c r="HW32" s="285"/>
      <c r="HX32" s="285"/>
      <c r="HY32" s="285"/>
      <c r="HZ32" s="286"/>
      <c r="IA32" s="218"/>
      <c r="IB32" s="219"/>
      <c r="IC32" s="285"/>
      <c r="ID32" s="285"/>
      <c r="IE32" s="285"/>
      <c r="IF32" s="285"/>
      <c r="IG32" s="285"/>
      <c r="IH32" s="285"/>
      <c r="II32" s="285"/>
      <c r="IJ32" s="285"/>
      <c r="IK32" s="285"/>
      <c r="IL32" s="285"/>
      <c r="IM32" s="286"/>
      <c r="IN32" s="218"/>
      <c r="IO32" s="219"/>
      <c r="IP32" s="285"/>
      <c r="IQ32" s="285"/>
      <c r="IR32" s="285"/>
      <c r="IS32" s="285"/>
      <c r="IT32" s="285"/>
      <c r="IU32" s="285"/>
      <c r="IV32" s="285"/>
    </row>
    <row r="33" spans="1:256" x14ac:dyDescent="0.2">
      <c r="A33" s="218"/>
      <c r="B33" s="219"/>
      <c r="C33" s="285"/>
      <c r="D33" s="285"/>
      <c r="E33" s="285"/>
      <c r="F33" s="285"/>
      <c r="G33" s="285"/>
      <c r="H33" s="285"/>
      <c r="I33" s="285"/>
      <c r="J33" s="285"/>
      <c r="K33" s="285"/>
      <c r="L33" s="285"/>
      <c r="M33" s="286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5"/>
      <c r="D34" s="285"/>
      <c r="E34" s="285"/>
      <c r="F34" s="285"/>
      <c r="G34" s="285"/>
      <c r="H34" s="285"/>
      <c r="I34" s="285"/>
      <c r="J34" s="285"/>
      <c r="K34" s="285"/>
      <c r="L34" s="285"/>
      <c r="M34" s="286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5"/>
      <c r="D35" s="285"/>
      <c r="E35" s="285"/>
      <c r="F35" s="285"/>
      <c r="G35" s="285"/>
      <c r="H35" s="285"/>
      <c r="I35" s="285"/>
      <c r="J35" s="285"/>
      <c r="K35" s="285"/>
      <c r="L35" s="285"/>
      <c r="M35" s="286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5"/>
      <c r="D36" s="285"/>
      <c r="E36" s="285"/>
      <c r="F36" s="285"/>
      <c r="G36" s="285"/>
      <c r="H36" s="285"/>
      <c r="I36" s="285"/>
      <c r="J36" s="285"/>
      <c r="K36" s="285"/>
      <c r="L36" s="285"/>
      <c r="M36" s="286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5"/>
      <c r="D37" s="285"/>
      <c r="E37" s="285"/>
      <c r="F37" s="285"/>
      <c r="G37" s="285"/>
      <c r="H37" s="285"/>
      <c r="I37" s="285"/>
      <c r="J37" s="285"/>
      <c r="K37" s="285"/>
      <c r="L37" s="285"/>
      <c r="M37" s="286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5"/>
      <c r="D38" s="285"/>
      <c r="E38" s="285"/>
      <c r="F38" s="285"/>
      <c r="G38" s="285"/>
      <c r="H38" s="285"/>
      <c r="I38" s="285"/>
      <c r="J38" s="285"/>
      <c r="K38" s="285"/>
      <c r="L38" s="285"/>
      <c r="M38" s="286"/>
      <c r="N38" s="211"/>
      <c r="O38" s="211"/>
      <c r="P38" s="291"/>
      <c r="Q38" s="291"/>
      <c r="R38" s="291"/>
      <c r="S38" s="291"/>
      <c r="T38" s="291"/>
      <c r="U38" s="291"/>
      <c r="V38" s="291"/>
      <c r="W38" s="291"/>
      <c r="X38" s="291"/>
      <c r="Y38" s="291"/>
      <c r="Z38" s="291"/>
      <c r="AA38" s="207"/>
      <c r="AB38" s="207"/>
      <c r="AC38" s="290"/>
      <c r="AD38" s="290"/>
      <c r="AE38" s="290"/>
      <c r="AF38" s="290"/>
      <c r="AG38" s="290"/>
      <c r="AH38" s="290"/>
      <c r="AI38" s="290"/>
      <c r="AJ38" s="290"/>
      <c r="AK38" s="290"/>
      <c r="AL38" s="290"/>
      <c r="AM38" s="290"/>
      <c r="AN38" s="207"/>
      <c r="AO38" s="207"/>
      <c r="AP38" s="290"/>
      <c r="AQ38" s="290"/>
      <c r="AR38" s="290"/>
      <c r="AS38" s="290"/>
      <c r="AT38" s="290"/>
      <c r="AU38" s="290"/>
      <c r="AV38" s="290"/>
      <c r="AW38" s="290"/>
      <c r="AX38" s="290"/>
      <c r="AY38" s="290"/>
      <c r="AZ38" s="290"/>
      <c r="BA38" s="207"/>
      <c r="BB38" s="207"/>
      <c r="BC38" s="290"/>
      <c r="BD38" s="290"/>
      <c r="BE38" s="290"/>
      <c r="BF38" s="290"/>
      <c r="BG38" s="290"/>
      <c r="BH38" s="290"/>
      <c r="BI38" s="290"/>
      <c r="BJ38" s="290"/>
      <c r="BK38" s="290"/>
      <c r="BL38" s="290"/>
      <c r="BM38" s="290"/>
      <c r="BN38" s="207"/>
      <c r="BO38" s="207"/>
      <c r="BP38" s="290"/>
      <c r="BQ38" s="290"/>
      <c r="BR38" s="290"/>
      <c r="BS38" s="290"/>
      <c r="BT38" s="290"/>
      <c r="BU38" s="290"/>
      <c r="BV38" s="290"/>
      <c r="BW38" s="290"/>
      <c r="BX38" s="290"/>
      <c r="BY38" s="290"/>
      <c r="BZ38" s="290"/>
      <c r="CA38" s="207"/>
      <c r="CB38" s="207"/>
      <c r="CC38" s="290"/>
      <c r="CD38" s="290"/>
      <c r="CE38" s="290"/>
      <c r="CF38" s="290"/>
      <c r="CG38" s="290"/>
      <c r="CH38" s="290"/>
      <c r="CI38" s="290"/>
      <c r="CJ38" s="290"/>
      <c r="CK38" s="290"/>
      <c r="CL38" s="290"/>
      <c r="CM38" s="290"/>
      <c r="CN38" s="207"/>
      <c r="CO38" s="207"/>
      <c r="CP38" s="290"/>
      <c r="CQ38" s="290"/>
      <c r="CR38" s="290"/>
      <c r="CS38" s="290"/>
      <c r="CT38" s="290"/>
      <c r="CU38" s="290"/>
      <c r="CV38" s="290"/>
      <c r="CW38" s="290"/>
      <c r="CX38" s="290"/>
      <c r="CY38" s="290"/>
      <c r="CZ38" s="290"/>
      <c r="DA38" s="207"/>
      <c r="DB38" s="207"/>
      <c r="DC38" s="290"/>
      <c r="DD38" s="290"/>
      <c r="DE38" s="290"/>
      <c r="DF38" s="290"/>
      <c r="DG38" s="290"/>
      <c r="DH38" s="290"/>
      <c r="DI38" s="290"/>
      <c r="DJ38" s="290"/>
      <c r="DK38" s="290"/>
      <c r="DL38" s="290"/>
      <c r="DM38" s="290"/>
      <c r="DN38" s="207"/>
      <c r="DO38" s="207"/>
      <c r="DP38" s="290"/>
      <c r="DQ38" s="290"/>
      <c r="DR38" s="290"/>
      <c r="DS38" s="290"/>
      <c r="DT38" s="290"/>
      <c r="DU38" s="290"/>
      <c r="DV38" s="290"/>
      <c r="DW38" s="290"/>
      <c r="DX38" s="290"/>
      <c r="DY38" s="290"/>
      <c r="DZ38" s="290"/>
      <c r="EA38" s="207"/>
      <c r="EB38" s="207"/>
      <c r="EC38" s="290"/>
      <c r="ED38" s="290"/>
      <c r="EE38" s="290"/>
      <c r="EF38" s="290"/>
      <c r="EG38" s="290"/>
      <c r="EH38" s="290"/>
      <c r="EI38" s="290"/>
      <c r="EJ38" s="290"/>
      <c r="EK38" s="290"/>
      <c r="EL38" s="290"/>
      <c r="EM38" s="290"/>
      <c r="EN38" s="207"/>
      <c r="EO38" s="207"/>
      <c r="EP38" s="290"/>
      <c r="EQ38" s="290"/>
      <c r="ER38" s="290"/>
      <c r="ES38" s="290"/>
      <c r="ET38" s="290"/>
      <c r="EU38" s="290"/>
      <c r="EV38" s="290"/>
      <c r="EW38" s="290"/>
      <c r="EX38" s="290"/>
      <c r="EY38" s="290"/>
      <c r="EZ38" s="290"/>
      <c r="FA38" s="207"/>
      <c r="FB38" s="207"/>
      <c r="FC38" s="290"/>
      <c r="FD38" s="290"/>
      <c r="FE38" s="290"/>
      <c r="FF38" s="290"/>
      <c r="FG38" s="290"/>
      <c r="FH38" s="290"/>
      <c r="FI38" s="290"/>
      <c r="FJ38" s="290"/>
      <c r="FK38" s="290"/>
      <c r="FL38" s="290"/>
      <c r="FM38" s="290"/>
      <c r="FN38" s="207"/>
      <c r="FO38" s="207"/>
      <c r="FP38" s="290"/>
      <c r="FQ38" s="290"/>
      <c r="FR38" s="290"/>
      <c r="FS38" s="290"/>
      <c r="FT38" s="290"/>
      <c r="FU38" s="290"/>
      <c r="FV38" s="290"/>
      <c r="FW38" s="290"/>
      <c r="FX38" s="290"/>
      <c r="FY38" s="290"/>
      <c r="FZ38" s="290"/>
      <c r="GA38" s="207"/>
      <c r="GB38" s="207"/>
      <c r="GC38" s="290"/>
      <c r="GD38" s="290"/>
      <c r="GE38" s="290"/>
      <c r="GF38" s="290"/>
      <c r="GG38" s="290"/>
      <c r="GH38" s="290"/>
      <c r="GI38" s="290"/>
      <c r="GJ38" s="290"/>
      <c r="GK38" s="290"/>
      <c r="GL38" s="290"/>
      <c r="GM38" s="290"/>
      <c r="GN38" s="207"/>
      <c r="GO38" s="207"/>
      <c r="GP38" s="290"/>
      <c r="GQ38" s="290"/>
      <c r="GR38" s="290"/>
      <c r="GS38" s="290"/>
      <c r="GT38" s="290"/>
      <c r="GU38" s="290"/>
      <c r="GV38" s="290"/>
      <c r="GW38" s="290"/>
      <c r="GX38" s="290"/>
      <c r="GY38" s="290"/>
      <c r="GZ38" s="290"/>
      <c r="HA38" s="207"/>
      <c r="HB38" s="207"/>
      <c r="HC38" s="290"/>
      <c r="HD38" s="290"/>
      <c r="HE38" s="290"/>
      <c r="HF38" s="290"/>
      <c r="HG38" s="290"/>
      <c r="HH38" s="290"/>
      <c r="HI38" s="290"/>
      <c r="HJ38" s="290"/>
      <c r="HK38" s="290"/>
      <c r="HL38" s="290"/>
      <c r="HM38" s="290"/>
      <c r="HN38" s="207"/>
      <c r="HO38" s="207"/>
      <c r="HP38" s="290"/>
      <c r="HQ38" s="290"/>
      <c r="HR38" s="290"/>
      <c r="HS38" s="290"/>
      <c r="HT38" s="290"/>
      <c r="HU38" s="290"/>
      <c r="HV38" s="290"/>
      <c r="HW38" s="290"/>
      <c r="HX38" s="290"/>
      <c r="HY38" s="290"/>
      <c r="HZ38" s="290"/>
      <c r="IA38" s="207"/>
      <c r="IB38" s="207"/>
      <c r="IC38" s="290"/>
      <c r="ID38" s="290"/>
      <c r="IE38" s="290"/>
      <c r="IF38" s="290"/>
      <c r="IG38" s="290"/>
      <c r="IH38" s="290"/>
      <c r="II38" s="290"/>
      <c r="IJ38" s="290"/>
      <c r="IK38" s="290"/>
      <c r="IL38" s="290"/>
      <c r="IM38" s="290"/>
      <c r="IN38" s="207"/>
      <c r="IO38" s="207"/>
      <c r="IP38" s="290"/>
      <c r="IQ38" s="290"/>
      <c r="IR38" s="290"/>
      <c r="IS38" s="290"/>
      <c r="IT38" s="290"/>
      <c r="IU38" s="290"/>
      <c r="IV38" s="290"/>
    </row>
    <row r="39" spans="1:256" x14ac:dyDescent="0.2">
      <c r="A39" s="218"/>
      <c r="B39" s="219"/>
      <c r="C39" s="285"/>
      <c r="D39" s="285"/>
      <c r="E39" s="285"/>
      <c r="F39" s="285"/>
      <c r="G39" s="285"/>
      <c r="H39" s="285"/>
      <c r="I39" s="285"/>
      <c r="J39" s="285"/>
      <c r="K39" s="285"/>
      <c r="L39" s="285"/>
      <c r="M39" s="286"/>
      <c r="N39" s="211"/>
      <c r="O39" s="211"/>
      <c r="P39" s="291"/>
      <c r="Q39" s="291"/>
      <c r="R39" s="291"/>
      <c r="S39" s="291"/>
      <c r="T39" s="291"/>
      <c r="U39" s="291"/>
      <c r="V39" s="291"/>
      <c r="W39" s="291"/>
      <c r="X39" s="291"/>
      <c r="Y39" s="291"/>
      <c r="Z39" s="291"/>
      <c r="AA39" s="207"/>
      <c r="AB39" s="207"/>
      <c r="AC39" s="290"/>
      <c r="AD39" s="290"/>
      <c r="AE39" s="290"/>
      <c r="AF39" s="290"/>
      <c r="AG39" s="290"/>
      <c r="AH39" s="290"/>
      <c r="AI39" s="290"/>
      <c r="AJ39" s="290"/>
      <c r="AK39" s="290"/>
      <c r="AL39" s="290"/>
      <c r="AM39" s="290"/>
      <c r="AN39" s="207"/>
      <c r="AO39" s="207"/>
      <c r="AP39" s="290"/>
      <c r="AQ39" s="290"/>
      <c r="AR39" s="290"/>
      <c r="AS39" s="290"/>
      <c r="AT39" s="290"/>
      <c r="AU39" s="290"/>
      <c r="AV39" s="290"/>
      <c r="AW39" s="290"/>
      <c r="AX39" s="290"/>
      <c r="AY39" s="290"/>
      <c r="AZ39" s="290"/>
      <c r="BA39" s="207"/>
      <c r="BB39" s="207"/>
      <c r="BC39" s="290"/>
      <c r="BD39" s="290"/>
      <c r="BE39" s="290"/>
      <c r="BF39" s="290"/>
      <c r="BG39" s="290"/>
      <c r="BH39" s="290"/>
      <c r="BI39" s="290"/>
      <c r="BJ39" s="290"/>
      <c r="BK39" s="290"/>
      <c r="BL39" s="290"/>
      <c r="BM39" s="290"/>
      <c r="BN39" s="207"/>
      <c r="BO39" s="207"/>
      <c r="BP39" s="290"/>
      <c r="BQ39" s="290"/>
      <c r="BR39" s="290"/>
      <c r="BS39" s="290"/>
      <c r="BT39" s="290"/>
      <c r="BU39" s="290"/>
      <c r="BV39" s="290"/>
      <c r="BW39" s="290"/>
      <c r="BX39" s="290"/>
      <c r="BY39" s="290"/>
      <c r="BZ39" s="290"/>
      <c r="CA39" s="207"/>
      <c r="CB39" s="207"/>
      <c r="CC39" s="290"/>
      <c r="CD39" s="290"/>
      <c r="CE39" s="290"/>
      <c r="CF39" s="290"/>
      <c r="CG39" s="290"/>
      <c r="CH39" s="290"/>
      <c r="CI39" s="290"/>
      <c r="CJ39" s="290"/>
      <c r="CK39" s="290"/>
      <c r="CL39" s="290"/>
      <c r="CM39" s="290"/>
      <c r="CN39" s="207"/>
      <c r="CO39" s="207"/>
      <c r="CP39" s="290"/>
      <c r="CQ39" s="290"/>
      <c r="CR39" s="290"/>
      <c r="CS39" s="290"/>
      <c r="CT39" s="290"/>
      <c r="CU39" s="290"/>
      <c r="CV39" s="290"/>
      <c r="CW39" s="290"/>
      <c r="CX39" s="290"/>
      <c r="CY39" s="290"/>
      <c r="CZ39" s="290"/>
      <c r="DA39" s="207"/>
      <c r="DB39" s="207"/>
      <c r="DC39" s="290"/>
      <c r="DD39" s="290"/>
      <c r="DE39" s="290"/>
      <c r="DF39" s="290"/>
      <c r="DG39" s="290"/>
      <c r="DH39" s="290"/>
      <c r="DI39" s="290"/>
      <c r="DJ39" s="290"/>
      <c r="DK39" s="290"/>
      <c r="DL39" s="290"/>
      <c r="DM39" s="290"/>
      <c r="DN39" s="207"/>
      <c r="DO39" s="207"/>
      <c r="DP39" s="290"/>
      <c r="DQ39" s="290"/>
      <c r="DR39" s="290"/>
      <c r="DS39" s="290"/>
      <c r="DT39" s="290"/>
      <c r="DU39" s="290"/>
      <c r="DV39" s="290"/>
      <c r="DW39" s="290"/>
      <c r="DX39" s="290"/>
      <c r="DY39" s="290"/>
      <c r="DZ39" s="290"/>
      <c r="EA39" s="207"/>
      <c r="EB39" s="207"/>
      <c r="EC39" s="290"/>
      <c r="ED39" s="290"/>
      <c r="EE39" s="290"/>
      <c r="EF39" s="290"/>
      <c r="EG39" s="290"/>
      <c r="EH39" s="290"/>
      <c r="EI39" s="290"/>
      <c r="EJ39" s="290"/>
      <c r="EK39" s="290"/>
      <c r="EL39" s="290"/>
      <c r="EM39" s="290"/>
      <c r="EN39" s="207"/>
      <c r="EO39" s="207"/>
      <c r="EP39" s="290"/>
      <c r="EQ39" s="290"/>
      <c r="ER39" s="290"/>
      <c r="ES39" s="290"/>
      <c r="ET39" s="290"/>
      <c r="EU39" s="290"/>
      <c r="EV39" s="290"/>
      <c r="EW39" s="290"/>
      <c r="EX39" s="290"/>
      <c r="EY39" s="290"/>
      <c r="EZ39" s="290"/>
      <c r="FA39" s="207"/>
      <c r="FB39" s="207"/>
      <c r="FC39" s="290"/>
      <c r="FD39" s="290"/>
      <c r="FE39" s="290"/>
      <c r="FF39" s="290"/>
      <c r="FG39" s="290"/>
      <c r="FH39" s="290"/>
      <c r="FI39" s="290"/>
      <c r="FJ39" s="290"/>
      <c r="FK39" s="290"/>
      <c r="FL39" s="290"/>
      <c r="FM39" s="290"/>
      <c r="FN39" s="207"/>
      <c r="FO39" s="207"/>
      <c r="FP39" s="290"/>
      <c r="FQ39" s="290"/>
      <c r="FR39" s="290"/>
      <c r="FS39" s="290"/>
      <c r="FT39" s="290"/>
      <c r="FU39" s="290"/>
      <c r="FV39" s="290"/>
      <c r="FW39" s="290"/>
      <c r="FX39" s="290"/>
      <c r="FY39" s="290"/>
      <c r="FZ39" s="290"/>
      <c r="GA39" s="207"/>
      <c r="GB39" s="207"/>
      <c r="GC39" s="290"/>
      <c r="GD39" s="290"/>
      <c r="GE39" s="290"/>
      <c r="GF39" s="290"/>
      <c r="GG39" s="290"/>
      <c r="GH39" s="290"/>
      <c r="GI39" s="290"/>
      <c r="GJ39" s="290"/>
      <c r="GK39" s="290"/>
      <c r="GL39" s="290"/>
      <c r="GM39" s="290"/>
      <c r="GN39" s="207"/>
      <c r="GO39" s="207"/>
      <c r="GP39" s="290"/>
      <c r="GQ39" s="290"/>
      <c r="GR39" s="290"/>
      <c r="GS39" s="290"/>
      <c r="GT39" s="290"/>
      <c r="GU39" s="290"/>
      <c r="GV39" s="290"/>
      <c r="GW39" s="290"/>
      <c r="GX39" s="290"/>
      <c r="GY39" s="290"/>
      <c r="GZ39" s="290"/>
      <c r="HA39" s="207"/>
      <c r="HB39" s="207"/>
      <c r="HC39" s="290"/>
      <c r="HD39" s="290"/>
      <c r="HE39" s="290"/>
      <c r="HF39" s="290"/>
      <c r="HG39" s="290"/>
      <c r="HH39" s="290"/>
      <c r="HI39" s="290"/>
      <c r="HJ39" s="290"/>
      <c r="HK39" s="290"/>
      <c r="HL39" s="290"/>
      <c r="HM39" s="290"/>
      <c r="HN39" s="207"/>
      <c r="HO39" s="207"/>
      <c r="HP39" s="290"/>
      <c r="HQ39" s="290"/>
      <c r="HR39" s="290"/>
      <c r="HS39" s="290"/>
      <c r="HT39" s="290"/>
      <c r="HU39" s="290"/>
      <c r="HV39" s="290"/>
      <c r="HW39" s="290"/>
      <c r="HX39" s="290"/>
      <c r="HY39" s="290"/>
      <c r="HZ39" s="290"/>
      <c r="IA39" s="207"/>
      <c r="IB39" s="207"/>
      <c r="IC39" s="290"/>
      <c r="ID39" s="290"/>
      <c r="IE39" s="290"/>
      <c r="IF39" s="290"/>
      <c r="IG39" s="290"/>
      <c r="IH39" s="290"/>
      <c r="II39" s="290"/>
      <c r="IJ39" s="290"/>
      <c r="IK39" s="290"/>
      <c r="IL39" s="290"/>
      <c r="IM39" s="290"/>
      <c r="IN39" s="207"/>
      <c r="IO39" s="207"/>
      <c r="IP39" s="290"/>
      <c r="IQ39" s="290"/>
      <c r="IR39" s="290"/>
      <c r="IS39" s="290"/>
      <c r="IT39" s="290"/>
      <c r="IU39" s="290"/>
      <c r="IV39" s="290"/>
    </row>
    <row r="40" spans="1:256" x14ac:dyDescent="0.2">
      <c r="A40" s="218"/>
      <c r="B40" s="219"/>
      <c r="C40" s="285"/>
      <c r="D40" s="285"/>
      <c r="E40" s="285"/>
      <c r="F40" s="285"/>
      <c r="G40" s="285"/>
      <c r="H40" s="285"/>
      <c r="I40" s="285"/>
      <c r="J40" s="285"/>
      <c r="K40" s="285"/>
      <c r="L40" s="285"/>
      <c r="M40" s="286"/>
      <c r="N40" s="211"/>
      <c r="O40" s="211"/>
      <c r="P40" s="291"/>
      <c r="Q40" s="291"/>
      <c r="R40" s="291"/>
      <c r="S40" s="291"/>
      <c r="T40" s="291"/>
      <c r="U40" s="291"/>
      <c r="V40" s="291"/>
      <c r="W40" s="291"/>
      <c r="X40" s="291"/>
      <c r="Y40" s="291"/>
      <c r="Z40" s="291"/>
      <c r="AA40" s="207"/>
      <c r="AB40" s="207"/>
      <c r="AC40" s="290"/>
      <c r="AD40" s="290"/>
      <c r="AE40" s="290"/>
      <c r="AF40" s="290"/>
      <c r="AG40" s="290"/>
      <c r="AH40" s="290"/>
      <c r="AI40" s="290"/>
      <c r="AJ40" s="290"/>
      <c r="AK40" s="290"/>
      <c r="AL40" s="290"/>
      <c r="AM40" s="290"/>
      <c r="AN40" s="207"/>
      <c r="AO40" s="207"/>
      <c r="AP40" s="290"/>
      <c r="AQ40" s="290"/>
      <c r="AR40" s="290"/>
      <c r="AS40" s="290"/>
      <c r="AT40" s="290"/>
      <c r="AU40" s="290"/>
      <c r="AV40" s="290"/>
      <c r="AW40" s="290"/>
      <c r="AX40" s="290"/>
      <c r="AY40" s="290"/>
      <c r="AZ40" s="290"/>
      <c r="BA40" s="207"/>
      <c r="BB40" s="207"/>
      <c r="BC40" s="290"/>
      <c r="BD40" s="290"/>
      <c r="BE40" s="290"/>
      <c r="BF40" s="290"/>
      <c r="BG40" s="290"/>
      <c r="BH40" s="290"/>
      <c r="BI40" s="290"/>
      <c r="BJ40" s="290"/>
      <c r="BK40" s="290"/>
      <c r="BL40" s="290"/>
      <c r="BM40" s="290"/>
      <c r="BN40" s="207"/>
      <c r="BO40" s="207"/>
      <c r="BP40" s="290"/>
      <c r="BQ40" s="290"/>
      <c r="BR40" s="290"/>
      <c r="BS40" s="290"/>
      <c r="BT40" s="290"/>
      <c r="BU40" s="290"/>
      <c r="BV40" s="290"/>
      <c r="BW40" s="290"/>
      <c r="BX40" s="290"/>
      <c r="BY40" s="290"/>
      <c r="BZ40" s="290"/>
      <c r="CA40" s="207"/>
      <c r="CB40" s="207"/>
      <c r="CC40" s="290"/>
      <c r="CD40" s="290"/>
      <c r="CE40" s="290"/>
      <c r="CF40" s="290"/>
      <c r="CG40" s="290"/>
      <c r="CH40" s="290"/>
      <c r="CI40" s="290"/>
      <c r="CJ40" s="290"/>
      <c r="CK40" s="290"/>
      <c r="CL40" s="290"/>
      <c r="CM40" s="290"/>
      <c r="CN40" s="207"/>
      <c r="CO40" s="207"/>
      <c r="CP40" s="290"/>
      <c r="CQ40" s="290"/>
      <c r="CR40" s="290"/>
      <c r="CS40" s="290"/>
      <c r="CT40" s="290"/>
      <c r="CU40" s="290"/>
      <c r="CV40" s="290"/>
      <c r="CW40" s="290"/>
      <c r="CX40" s="290"/>
      <c r="CY40" s="290"/>
      <c r="CZ40" s="290"/>
      <c r="DA40" s="207"/>
      <c r="DB40" s="207"/>
      <c r="DC40" s="290"/>
      <c r="DD40" s="290"/>
      <c r="DE40" s="290"/>
      <c r="DF40" s="290"/>
      <c r="DG40" s="290"/>
      <c r="DH40" s="290"/>
      <c r="DI40" s="290"/>
      <c r="DJ40" s="290"/>
      <c r="DK40" s="290"/>
      <c r="DL40" s="290"/>
      <c r="DM40" s="290"/>
      <c r="DN40" s="207"/>
      <c r="DO40" s="207"/>
      <c r="DP40" s="290"/>
      <c r="DQ40" s="290"/>
      <c r="DR40" s="290"/>
      <c r="DS40" s="290"/>
      <c r="DT40" s="290"/>
      <c r="DU40" s="290"/>
      <c r="DV40" s="290"/>
      <c r="DW40" s="290"/>
      <c r="DX40" s="290"/>
      <c r="DY40" s="290"/>
      <c r="DZ40" s="290"/>
      <c r="EA40" s="207"/>
      <c r="EB40" s="207"/>
      <c r="EC40" s="290"/>
      <c r="ED40" s="290"/>
      <c r="EE40" s="290"/>
      <c r="EF40" s="290"/>
      <c r="EG40" s="290"/>
      <c r="EH40" s="290"/>
      <c r="EI40" s="290"/>
      <c r="EJ40" s="290"/>
      <c r="EK40" s="290"/>
      <c r="EL40" s="290"/>
      <c r="EM40" s="290"/>
      <c r="EN40" s="207"/>
      <c r="EO40" s="207"/>
      <c r="EP40" s="290"/>
      <c r="EQ40" s="290"/>
      <c r="ER40" s="290"/>
      <c r="ES40" s="290"/>
      <c r="ET40" s="290"/>
      <c r="EU40" s="290"/>
      <c r="EV40" s="290"/>
      <c r="EW40" s="290"/>
      <c r="EX40" s="290"/>
      <c r="EY40" s="290"/>
      <c r="EZ40" s="290"/>
      <c r="FA40" s="207"/>
      <c r="FB40" s="207"/>
      <c r="FC40" s="290"/>
      <c r="FD40" s="290"/>
      <c r="FE40" s="290"/>
      <c r="FF40" s="290"/>
      <c r="FG40" s="290"/>
      <c r="FH40" s="290"/>
      <c r="FI40" s="290"/>
      <c r="FJ40" s="290"/>
      <c r="FK40" s="290"/>
      <c r="FL40" s="290"/>
      <c r="FM40" s="290"/>
      <c r="FN40" s="207"/>
      <c r="FO40" s="207"/>
      <c r="FP40" s="290"/>
      <c r="FQ40" s="290"/>
      <c r="FR40" s="290"/>
      <c r="FS40" s="290"/>
      <c r="FT40" s="290"/>
      <c r="FU40" s="290"/>
      <c r="FV40" s="290"/>
      <c r="FW40" s="290"/>
      <c r="FX40" s="290"/>
      <c r="FY40" s="290"/>
      <c r="FZ40" s="290"/>
      <c r="GA40" s="207"/>
      <c r="GB40" s="207"/>
      <c r="GC40" s="290"/>
      <c r="GD40" s="290"/>
      <c r="GE40" s="290"/>
      <c r="GF40" s="290"/>
      <c r="GG40" s="290"/>
      <c r="GH40" s="290"/>
      <c r="GI40" s="290"/>
      <c r="GJ40" s="290"/>
      <c r="GK40" s="290"/>
      <c r="GL40" s="290"/>
      <c r="GM40" s="290"/>
      <c r="GN40" s="207"/>
      <c r="GO40" s="207"/>
      <c r="GP40" s="290"/>
      <c r="GQ40" s="290"/>
      <c r="GR40" s="290"/>
      <c r="GS40" s="290"/>
      <c r="GT40" s="290"/>
      <c r="GU40" s="290"/>
      <c r="GV40" s="290"/>
      <c r="GW40" s="290"/>
      <c r="GX40" s="290"/>
      <c r="GY40" s="290"/>
      <c r="GZ40" s="290"/>
      <c r="HA40" s="207"/>
      <c r="HB40" s="207"/>
      <c r="HC40" s="290"/>
      <c r="HD40" s="290"/>
      <c r="HE40" s="290"/>
      <c r="HF40" s="290"/>
      <c r="HG40" s="290"/>
      <c r="HH40" s="290"/>
      <c r="HI40" s="290"/>
      <c r="HJ40" s="290"/>
      <c r="HK40" s="290"/>
      <c r="HL40" s="290"/>
      <c r="HM40" s="290"/>
      <c r="HN40" s="207"/>
      <c r="HO40" s="207"/>
      <c r="HP40" s="290"/>
      <c r="HQ40" s="290"/>
      <c r="HR40" s="290"/>
      <c r="HS40" s="290"/>
      <c r="HT40" s="290"/>
      <c r="HU40" s="290"/>
      <c r="HV40" s="290"/>
      <c r="HW40" s="290"/>
      <c r="HX40" s="290"/>
      <c r="HY40" s="290"/>
      <c r="HZ40" s="290"/>
      <c r="IA40" s="207"/>
      <c r="IB40" s="207"/>
      <c r="IC40" s="290"/>
      <c r="ID40" s="290"/>
      <c r="IE40" s="290"/>
      <c r="IF40" s="290"/>
      <c r="IG40" s="290"/>
      <c r="IH40" s="290"/>
      <c r="II40" s="290"/>
      <c r="IJ40" s="290"/>
      <c r="IK40" s="290"/>
      <c r="IL40" s="290"/>
      <c r="IM40" s="290"/>
      <c r="IN40" s="207"/>
      <c r="IO40" s="207"/>
      <c r="IP40" s="290"/>
      <c r="IQ40" s="290"/>
      <c r="IR40" s="290"/>
      <c r="IS40" s="290"/>
      <c r="IT40" s="290"/>
      <c r="IU40" s="290"/>
      <c r="IV40" s="290"/>
    </row>
    <row r="41" spans="1:256" x14ac:dyDescent="0.2">
      <c r="A41" s="218"/>
      <c r="B41" s="219"/>
      <c r="C41" s="285"/>
      <c r="D41" s="285"/>
      <c r="E41" s="285"/>
      <c r="F41" s="285"/>
      <c r="G41" s="285"/>
      <c r="H41" s="285"/>
      <c r="I41" s="285"/>
      <c r="J41" s="285"/>
      <c r="K41" s="285"/>
      <c r="L41" s="285"/>
      <c r="M41" s="286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5"/>
      <c r="D42" s="285"/>
      <c r="E42" s="285"/>
      <c r="F42" s="285"/>
      <c r="G42" s="285"/>
      <c r="H42" s="285"/>
      <c r="I42" s="285"/>
      <c r="J42" s="285"/>
      <c r="K42" s="285"/>
      <c r="L42" s="285"/>
      <c r="M42" s="286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5"/>
      <c r="D43" s="285"/>
      <c r="E43" s="285"/>
      <c r="F43" s="285"/>
      <c r="G43" s="285"/>
      <c r="H43" s="285"/>
      <c r="I43" s="285"/>
      <c r="J43" s="285"/>
      <c r="K43" s="285"/>
      <c r="L43" s="285"/>
      <c r="M43" s="286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5"/>
      <c r="D44" s="285"/>
      <c r="E44" s="285"/>
      <c r="F44" s="285"/>
      <c r="G44" s="285"/>
      <c r="H44" s="285"/>
      <c r="I44" s="285"/>
      <c r="J44" s="285"/>
      <c r="K44" s="285"/>
      <c r="L44" s="285"/>
      <c r="M44" s="286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5"/>
      <c r="D45" s="285"/>
      <c r="E45" s="285"/>
      <c r="F45" s="285"/>
      <c r="G45" s="285"/>
      <c r="H45" s="285"/>
      <c r="I45" s="285"/>
      <c r="J45" s="285"/>
      <c r="K45" s="285"/>
      <c r="L45" s="285"/>
      <c r="M45" s="286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5"/>
      <c r="D46" s="285"/>
      <c r="E46" s="285"/>
      <c r="F46" s="285"/>
      <c r="G46" s="285"/>
      <c r="H46" s="285"/>
      <c r="I46" s="285"/>
      <c r="J46" s="285"/>
      <c r="K46" s="285"/>
      <c r="L46" s="285"/>
      <c r="M46" s="286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5"/>
      <c r="D47" s="285"/>
      <c r="E47" s="285"/>
      <c r="F47" s="285"/>
      <c r="G47" s="285"/>
      <c r="H47" s="285"/>
      <c r="I47" s="285"/>
      <c r="J47" s="285"/>
      <c r="K47" s="285"/>
      <c r="L47" s="285"/>
      <c r="M47" s="286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5"/>
      <c r="D48" s="285"/>
      <c r="E48" s="285"/>
      <c r="F48" s="285"/>
      <c r="G48" s="285"/>
      <c r="H48" s="285"/>
      <c r="I48" s="285"/>
      <c r="J48" s="285"/>
      <c r="K48" s="285"/>
      <c r="L48" s="285"/>
      <c r="M48" s="286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5"/>
      <c r="D49" s="285"/>
      <c r="E49" s="285"/>
      <c r="F49" s="285"/>
      <c r="G49" s="285"/>
      <c r="H49" s="285"/>
      <c r="I49" s="285"/>
      <c r="J49" s="285"/>
      <c r="K49" s="285"/>
      <c r="L49" s="285"/>
      <c r="M49" s="286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5"/>
      <c r="D50" s="285"/>
      <c r="E50" s="285"/>
      <c r="F50" s="285"/>
      <c r="G50" s="285"/>
      <c r="H50" s="285"/>
      <c r="I50" s="285"/>
      <c r="J50" s="285"/>
      <c r="K50" s="285"/>
      <c r="L50" s="285"/>
      <c r="M50" s="28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5"/>
      <c r="D51" s="285"/>
      <c r="E51" s="285"/>
      <c r="F51" s="285"/>
      <c r="G51" s="285"/>
      <c r="H51" s="285"/>
      <c r="I51" s="285"/>
      <c r="J51" s="285"/>
      <c r="K51" s="285"/>
      <c r="L51" s="285"/>
      <c r="M51" s="286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5"/>
      <c r="D52" s="285"/>
      <c r="E52" s="285"/>
      <c r="F52" s="285"/>
      <c r="G52" s="285"/>
      <c r="H52" s="285"/>
      <c r="I52" s="285"/>
      <c r="J52" s="285"/>
      <c r="K52" s="285"/>
      <c r="L52" s="285"/>
      <c r="M52" s="286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5"/>
      <c r="D53" s="285"/>
      <c r="E53" s="285"/>
      <c r="F53" s="285"/>
      <c r="G53" s="285"/>
      <c r="H53" s="285"/>
      <c r="I53" s="285"/>
      <c r="J53" s="285"/>
      <c r="K53" s="285"/>
      <c r="L53" s="285"/>
      <c r="M53" s="286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5"/>
      <c r="D54" s="285"/>
      <c r="E54" s="285"/>
      <c r="F54" s="285"/>
      <c r="G54" s="285"/>
      <c r="H54" s="285"/>
      <c r="I54" s="285"/>
      <c r="J54" s="285"/>
      <c r="K54" s="285"/>
      <c r="L54" s="285"/>
      <c r="M54" s="28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5"/>
      <c r="D55" s="285"/>
      <c r="E55" s="285"/>
      <c r="F55" s="285"/>
      <c r="G55" s="285"/>
      <c r="H55" s="285"/>
      <c r="I55" s="285"/>
      <c r="J55" s="285"/>
      <c r="K55" s="285"/>
      <c r="L55" s="285"/>
      <c r="M55" s="286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5"/>
      <c r="D56" s="285"/>
      <c r="E56" s="285"/>
      <c r="F56" s="285"/>
      <c r="G56" s="285"/>
      <c r="H56" s="285"/>
      <c r="I56" s="285"/>
      <c r="J56" s="285"/>
      <c r="K56" s="285"/>
      <c r="L56" s="285"/>
      <c r="M56" s="286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5"/>
      <c r="D57" s="285"/>
      <c r="E57" s="285"/>
      <c r="F57" s="285"/>
      <c r="G57" s="285"/>
      <c r="H57" s="285"/>
      <c r="I57" s="285"/>
      <c r="J57" s="285"/>
      <c r="K57" s="285"/>
      <c r="L57" s="285"/>
      <c r="M57" s="286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5"/>
      <c r="D58" s="285"/>
      <c r="E58" s="285"/>
      <c r="F58" s="285"/>
      <c r="G58" s="285"/>
      <c r="H58" s="285"/>
      <c r="I58" s="285"/>
      <c r="J58" s="285"/>
      <c r="K58" s="285"/>
      <c r="L58" s="285"/>
      <c r="M58" s="286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5"/>
      <c r="D59" s="285"/>
      <c r="E59" s="285"/>
      <c r="F59" s="285"/>
      <c r="G59" s="285"/>
      <c r="H59" s="285"/>
      <c r="I59" s="285"/>
      <c r="J59" s="285"/>
      <c r="K59" s="285"/>
      <c r="L59" s="285"/>
      <c r="M59" s="286"/>
    </row>
    <row r="60" spans="1:256" x14ac:dyDescent="0.2">
      <c r="A60" s="218"/>
      <c r="B60" s="219"/>
      <c r="C60" s="285"/>
      <c r="D60" s="285"/>
      <c r="E60" s="285"/>
      <c r="F60" s="285"/>
      <c r="G60" s="285"/>
      <c r="H60" s="285"/>
      <c r="I60" s="285"/>
      <c r="J60" s="285"/>
      <c r="K60" s="285"/>
      <c r="L60" s="285"/>
      <c r="M60" s="286"/>
    </row>
    <row r="61" spans="1:256" x14ac:dyDescent="0.2">
      <c r="A61" s="218"/>
      <c r="B61" s="219"/>
      <c r="C61" s="285"/>
      <c r="D61" s="285"/>
      <c r="E61" s="285"/>
      <c r="F61" s="285"/>
      <c r="G61" s="285"/>
      <c r="H61" s="285"/>
      <c r="I61" s="285"/>
      <c r="J61" s="285"/>
      <c r="K61" s="285"/>
      <c r="L61" s="285"/>
      <c r="M61" s="286"/>
    </row>
    <row r="62" spans="1:256" x14ac:dyDescent="0.2">
      <c r="A62" s="218"/>
      <c r="B62" s="219"/>
      <c r="C62" s="285"/>
      <c r="D62" s="285"/>
      <c r="E62" s="285"/>
      <c r="F62" s="285"/>
      <c r="G62" s="285"/>
      <c r="H62" s="285"/>
      <c r="I62" s="285"/>
      <c r="J62" s="285"/>
      <c r="K62" s="285"/>
      <c r="L62" s="285"/>
      <c r="M62" s="286"/>
    </row>
    <row r="63" spans="1:256" x14ac:dyDescent="0.2">
      <c r="A63" s="218"/>
      <c r="B63" s="219"/>
      <c r="C63" s="285"/>
      <c r="D63" s="285"/>
      <c r="E63" s="285"/>
      <c r="F63" s="285"/>
      <c r="G63" s="285"/>
      <c r="H63" s="285"/>
      <c r="I63" s="285"/>
      <c r="J63" s="285"/>
      <c r="K63" s="285"/>
      <c r="L63" s="285"/>
      <c r="M63" s="286"/>
    </row>
    <row r="64" spans="1:256" x14ac:dyDescent="0.2">
      <c r="A64" s="218"/>
      <c r="B64" s="219"/>
      <c r="C64" s="285"/>
      <c r="D64" s="285"/>
      <c r="E64" s="285"/>
      <c r="F64" s="285"/>
      <c r="G64" s="285"/>
      <c r="H64" s="285"/>
      <c r="I64" s="285"/>
      <c r="J64" s="285"/>
      <c r="K64" s="285"/>
      <c r="L64" s="285"/>
      <c r="M64" s="286"/>
    </row>
    <row r="65" spans="1:13" x14ac:dyDescent="0.2">
      <c r="A65" s="218"/>
      <c r="B65" s="219"/>
      <c r="C65" s="285"/>
      <c r="D65" s="285"/>
      <c r="E65" s="285"/>
      <c r="F65" s="285"/>
      <c r="G65" s="285"/>
      <c r="H65" s="285"/>
      <c r="I65" s="285"/>
      <c r="J65" s="285"/>
      <c r="K65" s="285"/>
      <c r="L65" s="285"/>
      <c r="M65" s="286"/>
    </row>
    <row r="66" spans="1:13" x14ac:dyDescent="0.2">
      <c r="A66" s="218"/>
      <c r="B66" s="219"/>
      <c r="C66" s="285"/>
      <c r="D66" s="285"/>
      <c r="E66" s="285"/>
      <c r="F66" s="285"/>
      <c r="G66" s="285"/>
      <c r="H66" s="285"/>
      <c r="I66" s="285"/>
      <c r="J66" s="285"/>
      <c r="K66" s="285"/>
      <c r="L66" s="285"/>
      <c r="M66" s="286"/>
    </row>
    <row r="67" spans="1:13" x14ac:dyDescent="0.2">
      <c r="A67" s="218"/>
      <c r="B67" s="219"/>
      <c r="C67" s="285"/>
      <c r="D67" s="285"/>
      <c r="E67" s="285"/>
      <c r="F67" s="285"/>
      <c r="G67" s="285"/>
      <c r="H67" s="285"/>
      <c r="I67" s="285"/>
      <c r="J67" s="285"/>
      <c r="K67" s="285"/>
      <c r="L67" s="285"/>
      <c r="M67" s="286"/>
    </row>
    <row r="68" spans="1:13" x14ac:dyDescent="0.2">
      <c r="A68" s="218"/>
      <c r="B68" s="219"/>
      <c r="C68" s="285"/>
      <c r="D68" s="285"/>
      <c r="E68" s="285"/>
      <c r="F68" s="285"/>
      <c r="G68" s="285"/>
      <c r="H68" s="285"/>
      <c r="I68" s="285"/>
      <c r="J68" s="285"/>
      <c r="K68" s="285"/>
      <c r="L68" s="285"/>
      <c r="M68" s="286"/>
    </row>
    <row r="69" spans="1:13" x14ac:dyDescent="0.2">
      <c r="A69" s="218"/>
      <c r="B69" s="219"/>
      <c r="C69" s="285"/>
      <c r="D69" s="285"/>
      <c r="E69" s="285"/>
      <c r="F69" s="285"/>
      <c r="G69" s="285"/>
      <c r="H69" s="285"/>
      <c r="I69" s="285"/>
      <c r="J69" s="285"/>
      <c r="K69" s="285"/>
      <c r="L69" s="285"/>
      <c r="M69" s="286"/>
    </row>
    <row r="70" spans="1:13" ht="12" thickBot="1" x14ac:dyDescent="0.25">
      <c r="A70" s="220"/>
      <c r="B70" s="221"/>
      <c r="C70" s="287"/>
      <c r="D70" s="287"/>
      <c r="E70" s="287"/>
      <c r="F70" s="287"/>
      <c r="G70" s="287"/>
      <c r="H70" s="287"/>
      <c r="I70" s="287"/>
      <c r="J70" s="287"/>
      <c r="K70" s="287"/>
      <c r="L70" s="287"/>
      <c r="M70" s="288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89" t="s">
        <v>848</v>
      </c>
      <c r="B72" s="289"/>
      <c r="C72" s="289"/>
      <c r="D72" s="289"/>
      <c r="E72" s="289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84"/>
      <c r="D73" s="284"/>
      <c r="E73" s="284"/>
      <c r="F73" s="284"/>
      <c r="G73" s="284"/>
      <c r="H73" s="284"/>
      <c r="I73" s="284"/>
      <c r="J73" s="284"/>
      <c r="K73" s="284"/>
      <c r="L73" s="284"/>
      <c r="M73" s="284"/>
    </row>
    <row r="74" spans="1:13" x14ac:dyDescent="0.2">
      <c r="A74" s="211"/>
      <c r="B74" s="211"/>
      <c r="C74" s="284"/>
      <c r="D74" s="284"/>
      <c r="E74" s="284"/>
      <c r="F74" s="284"/>
      <c r="G74" s="284"/>
      <c r="H74" s="284"/>
      <c r="I74" s="284"/>
      <c r="J74" s="284"/>
      <c r="K74" s="284"/>
      <c r="L74" s="284"/>
      <c r="M74" s="284"/>
    </row>
    <row r="75" spans="1:13" x14ac:dyDescent="0.2">
      <c r="A75" s="211"/>
      <c r="B75" s="211"/>
      <c r="C75" s="284"/>
      <c r="D75" s="284"/>
      <c r="E75" s="284"/>
      <c r="F75" s="284"/>
      <c r="G75" s="284"/>
      <c r="H75" s="284"/>
      <c r="I75" s="284"/>
      <c r="J75" s="284"/>
      <c r="K75" s="284"/>
      <c r="L75" s="284"/>
      <c r="M75" s="284"/>
    </row>
    <row r="76" spans="1:13" x14ac:dyDescent="0.2">
      <c r="A76" s="211"/>
      <c r="B76" s="211"/>
      <c r="C76" s="284"/>
      <c r="D76" s="284"/>
      <c r="E76" s="284"/>
      <c r="F76" s="284"/>
      <c r="G76" s="284"/>
      <c r="H76" s="284"/>
      <c r="I76" s="284"/>
      <c r="J76" s="284"/>
      <c r="K76" s="284"/>
      <c r="L76" s="284"/>
      <c r="M76" s="284"/>
    </row>
    <row r="77" spans="1:13" x14ac:dyDescent="0.2">
      <c r="A77" s="211"/>
      <c r="B77" s="211"/>
      <c r="C77" s="284"/>
      <c r="D77" s="284"/>
      <c r="E77" s="284"/>
      <c r="F77" s="284"/>
      <c r="G77" s="284"/>
      <c r="H77" s="284"/>
      <c r="I77" s="284"/>
      <c r="J77" s="284"/>
      <c r="K77" s="284"/>
      <c r="L77" s="284"/>
      <c r="M77" s="284"/>
    </row>
    <row r="78" spans="1:13" x14ac:dyDescent="0.2">
      <c r="A78" s="211"/>
      <c r="B78" s="211"/>
      <c r="C78" s="284"/>
      <c r="D78" s="284"/>
      <c r="E78" s="284"/>
      <c r="F78" s="284"/>
      <c r="G78" s="284"/>
      <c r="H78" s="284"/>
      <c r="I78" s="284"/>
      <c r="J78" s="284"/>
      <c r="K78" s="284"/>
      <c r="L78" s="284"/>
      <c r="M78" s="284"/>
    </row>
    <row r="79" spans="1:13" x14ac:dyDescent="0.2">
      <c r="A79" s="211"/>
      <c r="B79" s="211"/>
      <c r="C79" s="284"/>
      <c r="D79" s="284"/>
      <c r="E79" s="284"/>
      <c r="F79" s="284"/>
      <c r="G79" s="284"/>
      <c r="H79" s="284"/>
      <c r="I79" s="284"/>
      <c r="J79" s="284"/>
      <c r="K79" s="284"/>
      <c r="L79" s="284"/>
      <c r="M79" s="284"/>
    </row>
    <row r="80" spans="1:13" x14ac:dyDescent="0.2">
      <c r="A80" s="211"/>
      <c r="B80" s="211"/>
      <c r="C80" s="284"/>
      <c r="D80" s="284"/>
      <c r="E80" s="284"/>
      <c r="F80" s="284"/>
      <c r="G80" s="284"/>
      <c r="H80" s="284"/>
      <c r="I80" s="284"/>
      <c r="J80" s="284"/>
      <c r="K80" s="284"/>
      <c r="L80" s="284"/>
      <c r="M80" s="284"/>
    </row>
    <row r="81" spans="1:13" x14ac:dyDescent="0.2">
      <c r="A81" s="211"/>
      <c r="B81" s="211"/>
      <c r="C81" s="284"/>
      <c r="D81" s="284"/>
      <c r="E81" s="284"/>
      <c r="F81" s="284"/>
      <c r="G81" s="284"/>
      <c r="H81" s="284"/>
      <c r="I81" s="284"/>
      <c r="J81" s="284"/>
      <c r="K81" s="284"/>
      <c r="L81" s="284"/>
      <c r="M81" s="284"/>
    </row>
    <row r="82" spans="1:13" x14ac:dyDescent="0.2">
      <c r="A82" s="211"/>
      <c r="B82" s="211"/>
      <c r="C82" s="284"/>
      <c r="D82" s="284"/>
      <c r="E82" s="284"/>
      <c r="F82" s="284"/>
      <c r="G82" s="284"/>
      <c r="H82" s="284"/>
      <c r="I82" s="284"/>
      <c r="J82" s="284"/>
      <c r="K82" s="284"/>
      <c r="L82" s="284"/>
      <c r="M82" s="284"/>
    </row>
    <row r="83" spans="1:13" x14ac:dyDescent="0.2">
      <c r="A83" s="211"/>
      <c r="B83" s="211"/>
      <c r="C83" s="284"/>
      <c r="D83" s="284"/>
      <c r="E83" s="284"/>
      <c r="F83" s="284"/>
      <c r="G83" s="284"/>
      <c r="H83" s="284"/>
      <c r="I83" s="284"/>
      <c r="J83" s="284"/>
      <c r="K83" s="284"/>
      <c r="L83" s="284"/>
      <c r="M83" s="284"/>
    </row>
    <row r="84" spans="1:13" x14ac:dyDescent="0.2">
      <c r="A84" s="211"/>
      <c r="B84" s="211"/>
      <c r="C84" s="284"/>
      <c r="D84" s="284"/>
      <c r="E84" s="284"/>
      <c r="F84" s="284"/>
      <c r="G84" s="284"/>
      <c r="H84" s="284"/>
      <c r="I84" s="284"/>
      <c r="J84" s="284"/>
      <c r="K84" s="284"/>
      <c r="L84" s="284"/>
      <c r="M84" s="284"/>
    </row>
    <row r="85" spans="1:13" x14ac:dyDescent="0.2">
      <c r="A85" s="211"/>
      <c r="B85" s="211"/>
      <c r="C85" s="284"/>
      <c r="D85" s="284"/>
      <c r="E85" s="284"/>
      <c r="F85" s="284"/>
      <c r="G85" s="284"/>
      <c r="H85" s="284"/>
      <c r="I85" s="284"/>
      <c r="J85" s="284"/>
      <c r="K85" s="284"/>
      <c r="L85" s="284"/>
      <c r="M85" s="284"/>
    </row>
    <row r="86" spans="1:13" x14ac:dyDescent="0.2">
      <c r="A86" s="211"/>
      <c r="B86" s="211"/>
      <c r="C86" s="284"/>
      <c r="D86" s="284"/>
      <c r="E86" s="284"/>
      <c r="F86" s="284"/>
      <c r="G86" s="284"/>
      <c r="H86" s="284"/>
      <c r="I86" s="284"/>
      <c r="J86" s="284"/>
      <c r="K86" s="284"/>
      <c r="L86" s="284"/>
      <c r="M86" s="284"/>
    </row>
    <row r="87" spans="1:13" x14ac:dyDescent="0.2">
      <c r="A87" s="211"/>
      <c r="B87" s="211"/>
      <c r="C87" s="284"/>
      <c r="D87" s="284"/>
      <c r="E87" s="284"/>
      <c r="F87" s="284"/>
      <c r="G87" s="284"/>
      <c r="H87" s="284"/>
      <c r="I87" s="284"/>
      <c r="J87" s="284"/>
      <c r="K87" s="284"/>
      <c r="L87" s="284"/>
      <c r="M87" s="284"/>
    </row>
    <row r="88" spans="1:13" x14ac:dyDescent="0.2">
      <c r="A88" s="211"/>
      <c r="B88" s="211"/>
      <c r="C88" s="284"/>
      <c r="D88" s="284"/>
      <c r="E88" s="284"/>
      <c r="F88" s="284"/>
      <c r="G88" s="284"/>
      <c r="H88" s="284"/>
      <c r="I88" s="284"/>
      <c r="J88" s="284"/>
      <c r="K88" s="284"/>
      <c r="L88" s="284"/>
      <c r="M88" s="284"/>
    </row>
    <row r="89" spans="1:13" x14ac:dyDescent="0.2">
      <c r="A89" s="211"/>
      <c r="B89" s="211"/>
      <c r="C89" s="284"/>
      <c r="D89" s="284"/>
      <c r="E89" s="284"/>
      <c r="F89" s="284"/>
      <c r="G89" s="284"/>
      <c r="H89" s="284"/>
      <c r="I89" s="284"/>
      <c r="J89" s="284"/>
      <c r="K89" s="284"/>
      <c r="L89" s="284"/>
      <c r="M89" s="284"/>
    </row>
    <row r="90" spans="1:13" x14ac:dyDescent="0.2">
      <c r="A90" s="211"/>
      <c r="B90" s="211"/>
      <c r="C90" s="284"/>
      <c r="D90" s="284"/>
      <c r="E90" s="284"/>
      <c r="F90" s="284"/>
      <c r="G90" s="284"/>
      <c r="H90" s="284"/>
      <c r="I90" s="284"/>
      <c r="J90" s="284"/>
      <c r="K90" s="284"/>
      <c r="L90" s="284"/>
      <c r="M90" s="284"/>
    </row>
  </sheetData>
  <sheetProtection password="A70A" sheet="1" objects="1" scenarios="1"/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2014-10-15T15:33:58Z</cp:lastPrinted>
  <dcterms:created xsi:type="dcterms:W3CDTF">1997-12-04T19:04:30Z</dcterms:created>
  <dcterms:modified xsi:type="dcterms:W3CDTF">2014-10-16T16:17:07Z</dcterms:modified>
</cp:coreProperties>
</file>