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39" i="1" l="1"/>
  <c r="H155" i="1" l="1"/>
  <c r="H154" i="1"/>
  <c r="G358" i="1"/>
  <c r="G158" i="1"/>
  <c r="G97" i="1"/>
  <c r="J207" i="1" l="1"/>
  <c r="J203" i="1"/>
  <c r="I207" i="1"/>
  <c r="I203" i="1"/>
  <c r="I202" i="1"/>
  <c r="H208" i="1"/>
  <c r="H207" i="1"/>
  <c r="H204" i="1"/>
  <c r="H203" i="1"/>
  <c r="H202" i="1"/>
  <c r="G207" i="1"/>
  <c r="G203" i="1"/>
  <c r="G202" i="1"/>
  <c r="G200" i="1"/>
  <c r="G198" i="1"/>
  <c r="F207" i="1"/>
  <c r="F203" i="1"/>
  <c r="F202" i="1"/>
  <c r="F200" i="1"/>
  <c r="F198" i="1"/>
  <c r="F29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H643" i="1" s="1"/>
  <c r="J643" i="1" s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26" i="10"/>
  <c r="L328" i="1"/>
  <c r="H660" i="1" s="1"/>
  <c r="H664" i="1" s="1"/>
  <c r="L351" i="1"/>
  <c r="I662" i="1"/>
  <c r="A31" i="12"/>
  <c r="A40" i="12"/>
  <c r="D62" i="2"/>
  <c r="D63" i="2" s="1"/>
  <c r="D18" i="13"/>
  <c r="C18" i="13" s="1"/>
  <c r="D15" i="13"/>
  <c r="C15" i="13" s="1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G552" i="1"/>
  <c r="H476" i="1"/>
  <c r="H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J634" i="1"/>
  <c r="H571" i="1"/>
  <c r="L560" i="1"/>
  <c r="J545" i="1"/>
  <c r="H338" i="1"/>
  <c r="H352" i="1" s="1"/>
  <c r="G192" i="1"/>
  <c r="H192" i="1"/>
  <c r="E128" i="2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K551" i="1"/>
  <c r="K552" i="1" s="1"/>
  <c r="C22" i="13"/>
  <c r="C138" i="2"/>
  <c r="C16" i="13"/>
  <c r="H33" i="13"/>
  <c r="A13" i="12" l="1"/>
  <c r="J649" i="1"/>
  <c r="L545" i="1"/>
  <c r="H545" i="1"/>
  <c r="J640" i="1"/>
  <c r="C20" i="10"/>
  <c r="L290" i="1"/>
  <c r="L338" i="1" s="1"/>
  <c r="L352" i="1" s="1"/>
  <c r="G633" i="1" s="1"/>
  <c r="J633" i="1" s="1"/>
  <c r="C13" i="10"/>
  <c r="E115" i="2"/>
  <c r="E145" i="2" s="1"/>
  <c r="C10" i="10"/>
  <c r="L362" i="1"/>
  <c r="D145" i="2"/>
  <c r="J624" i="1"/>
  <c r="H52" i="1"/>
  <c r="H619" i="1" s="1"/>
  <c r="D7" i="13"/>
  <c r="C7" i="13" s="1"/>
  <c r="E33" i="13"/>
  <c r="D35" i="13" s="1"/>
  <c r="C16" i="10"/>
  <c r="C112" i="2"/>
  <c r="C109" i="2"/>
  <c r="D5" i="13"/>
  <c r="C5" i="13" s="1"/>
  <c r="C123" i="2"/>
  <c r="C128" i="2" s="1"/>
  <c r="D12" i="13"/>
  <c r="C12" i="13" s="1"/>
  <c r="C17" i="10"/>
  <c r="C110" i="2"/>
  <c r="L211" i="1"/>
  <c r="F660" i="1" s="1"/>
  <c r="C70" i="2"/>
  <c r="C81" i="2" s="1"/>
  <c r="C104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H646" i="1" l="1"/>
  <c r="J646" i="1" s="1"/>
  <c r="F33" i="13"/>
  <c r="G104" i="2"/>
  <c r="C115" i="2"/>
  <c r="C145" i="2" s="1"/>
  <c r="C28" i="10"/>
  <c r="D22" i="10" s="1"/>
  <c r="L257" i="1"/>
  <c r="L271" i="1" s="1"/>
  <c r="G632" i="1" s="1"/>
  <c r="J632" i="1" s="1"/>
  <c r="F664" i="1"/>
  <c r="I660" i="1"/>
  <c r="I664" i="1" s="1"/>
  <c r="I672" i="1" s="1"/>
  <c r="C7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6" i="10" l="1"/>
  <c r="D10" i="10"/>
  <c r="D23" i="10"/>
  <c r="D17" i="10"/>
  <c r="D24" i="10"/>
  <c r="D25" i="10"/>
  <c r="D20" i="10"/>
  <c r="D12" i="10"/>
  <c r="D27" i="10"/>
  <c r="D15" i="10"/>
  <c r="D16" i="10"/>
  <c r="D18" i="10"/>
  <c r="C30" i="10"/>
  <c r="D19" i="10"/>
  <c r="D13" i="10"/>
  <c r="D11" i="10"/>
  <c r="D21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<sst xmlns="http://schemas.openxmlformats.org/spreadsheetml/2006/main" count="3954" uniqueCount="912">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</sst>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</v>
      </c>
      <c r="C2" s="21">
        <v>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285293.37+1000</f>
        <v>286293.37</v>
      </c>
      <c r="G9" s="18"/>
      <c r="H9" s="18"/>
      <c r="I9" s="18"/>
      <c r="J9" s="67">
        <f>SUM(I439)</f>
        <v>121619.08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1263531.68</v>
      </c>
      <c r="G12" s="18">
        <v>467194.45</v>
      </c>
      <c r="H12" s="18">
        <v>789043.16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988.16</v>
      </c>
      <c r="G13" s="18">
        <v>9299.42</v>
      </c>
      <c r="H13" s="18">
        <v>9010.0400000000009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267.83999999999997</v>
      </c>
      <c r="G14" s="18">
        <v>-195.32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1551081.0499999998</v>
      </c>
      <c r="G19" s="41">
        <f>SUM(G9:G18)</f>
        <v>476298.55</v>
      </c>
      <c r="H19" s="41">
        <f>SUM(H9:H18)</f>
        <v>798053.20000000007</v>
      </c>
      <c r="I19" s="41">
        <f>SUM(I9:I18)</f>
        <v>0</v>
      </c>
      <c r="J19" s="41">
        <f>SUM(J9:J18)</f>
        <v>121619.08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1256237.6100000001</v>
      </c>
      <c r="G22" s="18">
        <v>471241.08</v>
      </c>
      <c r="H22" s="18">
        <v>792290.6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15460.61</v>
      </c>
      <c r="G24" s="18">
        <v>5055.5</v>
      </c>
      <c r="H24" s="18">
        <v>41.01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166.25+677.54</f>
        <v>843.79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379.5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1272921.5100000002</v>
      </c>
      <c r="G32" s="41">
        <f>SUM(G22:G31)</f>
        <v>476296.58</v>
      </c>
      <c r="H32" s="41">
        <f>SUM(H22:H31)</f>
        <v>792331.61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1.97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5721.59</v>
      </c>
      <c r="I48" s="18"/>
      <c r="J48" s="13">
        <f>SUM(I459)</f>
        <v>121619.08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213065.15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45094.39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278159.53999999998</v>
      </c>
      <c r="G51" s="41">
        <f>SUM(G35:G50)</f>
        <v>1.97</v>
      </c>
      <c r="H51" s="41">
        <f>SUM(H35:H50)</f>
        <v>5721.59</v>
      </c>
      <c r="I51" s="41">
        <f>SUM(I35:I50)</f>
        <v>0</v>
      </c>
      <c r="J51" s="41">
        <f>SUM(J35:J50)</f>
        <v>121619.08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1551081.0500000003</v>
      </c>
      <c r="G52" s="41">
        <f>G51+G32</f>
        <v>476298.55</v>
      </c>
      <c r="H52" s="41">
        <f>H51+H32</f>
        <v>798053.2</v>
      </c>
      <c r="I52" s="41">
        <f>I51+I32</f>
        <v>0</v>
      </c>
      <c r="J52" s="41">
        <f>J51+J32</f>
        <v>121619.08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1821415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1821415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391.71</v>
      </c>
      <c r="G96" s="18"/>
      <c r="H96" s="18"/>
      <c r="I96" s="18"/>
      <c r="J96" s="18">
        <v>237.55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21154.95+701.55</f>
        <v>21856.5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5782.69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60.51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2692.2200000000003</v>
      </c>
      <c r="G111" s="41">
        <f>SUM(G96:G110)</f>
        <v>21856.5</v>
      </c>
      <c r="H111" s="41">
        <f>SUM(H96:H110)</f>
        <v>5782.69</v>
      </c>
      <c r="I111" s="41">
        <f>SUM(I96:I110)</f>
        <v>0</v>
      </c>
      <c r="J111" s="41">
        <f>SUM(J96:J110)</f>
        <v>237.55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1824107.22</v>
      </c>
      <c r="G112" s="41">
        <f>G60+G111</f>
        <v>21856.5</v>
      </c>
      <c r="H112" s="41">
        <f>H60+H79+H94+H111</f>
        <v>5782.69</v>
      </c>
      <c r="I112" s="41">
        <f>I60+I111</f>
        <v>0</v>
      </c>
      <c r="J112" s="41">
        <f>J60+J111</f>
        <v>237.55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547788.43999999994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398439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946227.44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1249.99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1249.99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946227.44</v>
      </c>
      <c r="G140" s="41">
        <f>G121+SUM(G136:G137)</f>
        <v>1249.99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2267.69+57199.77</f>
        <v>59467.46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167.93+14324.65+4013.12+4025.73</f>
        <v>22531.43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49077.74+5441.91</f>
        <v>54519.649999999994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14748.29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15971.12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14748.29</v>
      </c>
      <c r="G162" s="41">
        <f>SUM(G150:G161)</f>
        <v>54519.649999999994</v>
      </c>
      <c r="H162" s="41">
        <f>SUM(H150:H161)</f>
        <v>97970.01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418.61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15166.900000000001</v>
      </c>
      <c r="G169" s="41">
        <f>G147+G162+SUM(G163:G168)</f>
        <v>54519.649999999994</v>
      </c>
      <c r="H169" s="41">
        <f>H147+H162+SUM(H163:H168)</f>
        <v>97970.01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23860</v>
      </c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23860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23860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2785501.56</v>
      </c>
      <c r="G193" s="47">
        <f>G112+G140+G169+G192</f>
        <v>101486.14</v>
      </c>
      <c r="H193" s="47">
        <f>H112+H140+H169+H192</f>
        <v>103752.7</v>
      </c>
      <c r="I193" s="47">
        <f>I112+I140+I169+I192</f>
        <v>0</v>
      </c>
      <c r="J193" s="47">
        <f>J112+J140+J192</f>
        <v>10237.549999999999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867726.85</v>
      </c>
      <c r="G197" s="18">
        <v>398556.24</v>
      </c>
      <c r="H197" s="18">
        <v>6339.62</v>
      </c>
      <c r="I197" s="18">
        <v>27078.53</v>
      </c>
      <c r="J197" s="18">
        <v>3787.25</v>
      </c>
      <c r="K197" s="18">
        <v>190</v>
      </c>
      <c r="L197" s="19">
        <f>SUM(F197:K197)</f>
        <v>1303678.49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95629.03+3594</f>
        <v>99223.03</v>
      </c>
      <c r="G198" s="18">
        <f>44364.14+771.57</f>
        <v>45135.71</v>
      </c>
      <c r="H198" s="18">
        <v>48362.38</v>
      </c>
      <c r="I198" s="18">
        <v>411</v>
      </c>
      <c r="J198" s="18"/>
      <c r="K198" s="18"/>
      <c r="L198" s="19">
        <f>SUM(F198:K198)</f>
        <v>193132.12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26450+480</f>
        <v>26930</v>
      </c>
      <c r="G200" s="18">
        <f>4981.61+82.04</f>
        <v>5063.6499999999996</v>
      </c>
      <c r="H200" s="18">
        <v>3630</v>
      </c>
      <c r="I200" s="18">
        <v>1696.27</v>
      </c>
      <c r="J200" s="18">
        <v>874.35</v>
      </c>
      <c r="K200" s="18"/>
      <c r="L200" s="19">
        <f>SUM(F200:K200)</f>
        <v>38194.269999999997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43896.05+54380.06+10469</f>
        <v>108745.11</v>
      </c>
      <c r="G202" s="18">
        <f>32644.67+29679.04+858.14</f>
        <v>63181.85</v>
      </c>
      <c r="H202" s="18">
        <f>4202.5+600+78.92+38857.42</f>
        <v>43738.84</v>
      </c>
      <c r="I202" s="18">
        <f>898.31+485.58+781.45</f>
        <v>2165.34</v>
      </c>
      <c r="J202" s="18">
        <v>549</v>
      </c>
      <c r="K202" s="18">
        <v>85</v>
      </c>
      <c r="L202" s="19">
        <f t="shared" ref="L202:L208" si="0">SUM(F202:K202)</f>
        <v>218465.13999999998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7605+6600+35120.3</f>
        <v>49325.3</v>
      </c>
      <c r="G203" s="18">
        <f>623.35+1439.46+17325.67</f>
        <v>19388.48</v>
      </c>
      <c r="H203" s="18">
        <f>30772.76+13398.1+1000</f>
        <v>45170.86</v>
      </c>
      <c r="I203" s="18">
        <f>7833.01+8115.24</f>
        <v>15948.25</v>
      </c>
      <c r="J203" s="18">
        <f>6688.71+554.23</f>
        <v>7242.9400000000005</v>
      </c>
      <c r="K203" s="18">
        <v>54</v>
      </c>
      <c r="L203" s="19">
        <f t="shared" si="0"/>
        <v>137129.82999999999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3670</v>
      </c>
      <c r="G204" s="18">
        <v>363.75</v>
      </c>
      <c r="H204" s="18">
        <f>6553.59+9825+5285.76+71734</f>
        <v>93398.35</v>
      </c>
      <c r="I204" s="18">
        <v>484.5</v>
      </c>
      <c r="J204" s="18"/>
      <c r="K204" s="18">
        <v>930</v>
      </c>
      <c r="L204" s="19">
        <f t="shared" si="0"/>
        <v>98846.6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133949.98000000001</v>
      </c>
      <c r="G205" s="18">
        <v>37340.370000000003</v>
      </c>
      <c r="H205" s="18">
        <v>9499.01</v>
      </c>
      <c r="I205" s="18">
        <v>2239.96</v>
      </c>
      <c r="J205" s="18"/>
      <c r="K205" s="18"/>
      <c r="L205" s="19">
        <f t="shared" si="0"/>
        <v>183029.32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89040.38+1048</f>
        <v>90088.38</v>
      </c>
      <c r="G207" s="18">
        <f>65594.91+80.18</f>
        <v>65675.09</v>
      </c>
      <c r="H207" s="18">
        <f>20691.16+2720.56+38442.76</f>
        <v>61854.48</v>
      </c>
      <c r="I207" s="18">
        <f>104020.45+2966.91+2298.7</f>
        <v>109286.06</v>
      </c>
      <c r="J207" s="18">
        <f>23404.07</f>
        <v>23404.07</v>
      </c>
      <c r="K207" s="18"/>
      <c r="L207" s="19">
        <f t="shared" si="0"/>
        <v>350308.08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42331+31037+3310+2504.7+517.44</f>
        <v>79700.14</v>
      </c>
      <c r="I208" s="18"/>
      <c r="J208" s="18"/>
      <c r="K208" s="18"/>
      <c r="L208" s="19">
        <f t="shared" si="0"/>
        <v>79700.14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1379658.65</v>
      </c>
      <c r="G211" s="41">
        <f t="shared" si="1"/>
        <v>634705.14</v>
      </c>
      <c r="H211" s="41">
        <f t="shared" si="1"/>
        <v>391693.68000000005</v>
      </c>
      <c r="I211" s="41">
        <f t="shared" si="1"/>
        <v>159309.91</v>
      </c>
      <c r="J211" s="41">
        <f t="shared" si="1"/>
        <v>35857.61</v>
      </c>
      <c r="K211" s="41">
        <f t="shared" si="1"/>
        <v>1259</v>
      </c>
      <c r="L211" s="41">
        <f t="shared" si="1"/>
        <v>2602483.9900000002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1379658.65</v>
      </c>
      <c r="G257" s="41">
        <f t="shared" si="8"/>
        <v>634705.14</v>
      </c>
      <c r="H257" s="41">
        <f t="shared" si="8"/>
        <v>391693.68000000005</v>
      </c>
      <c r="I257" s="41">
        <f t="shared" si="8"/>
        <v>159309.91</v>
      </c>
      <c r="J257" s="41">
        <f t="shared" si="8"/>
        <v>35857.61</v>
      </c>
      <c r="K257" s="41">
        <f t="shared" si="8"/>
        <v>1259</v>
      </c>
      <c r="L257" s="41">
        <f t="shared" si="8"/>
        <v>2602483.9900000002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23860</v>
      </c>
      <c r="L263" s="19">
        <f>SUM(F263:K263)</f>
        <v>23860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33860</v>
      </c>
      <c r="L270" s="41">
        <f t="shared" si="9"/>
        <v>33860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1379658.65</v>
      </c>
      <c r="G271" s="42">
        <f t="shared" si="11"/>
        <v>634705.14</v>
      </c>
      <c r="H271" s="42">
        <f t="shared" si="11"/>
        <v>391693.68000000005</v>
      </c>
      <c r="I271" s="42">
        <f t="shared" si="11"/>
        <v>159309.91</v>
      </c>
      <c r="J271" s="42">
        <f t="shared" si="11"/>
        <v>35857.61</v>
      </c>
      <c r="K271" s="42">
        <f t="shared" si="11"/>
        <v>35119</v>
      </c>
      <c r="L271" s="42">
        <f t="shared" si="11"/>
        <v>2636343.9900000002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57577.5</v>
      </c>
      <c r="G276" s="18">
        <v>11210.44</v>
      </c>
      <c r="H276" s="18"/>
      <c r="I276" s="18">
        <v>654.37</v>
      </c>
      <c r="J276" s="18">
        <v>3067.06</v>
      </c>
      <c r="K276" s="18"/>
      <c r="L276" s="19">
        <f>SUM(F276:K276)</f>
        <v>72509.37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1836</v>
      </c>
      <c r="G279" s="18">
        <v>395.99</v>
      </c>
      <c r="H279" s="18"/>
      <c r="I279" s="18"/>
      <c r="J279" s="18"/>
      <c r="K279" s="18"/>
      <c r="L279" s="19">
        <f>SUM(F279:K279)</f>
        <v>2231.9899999999998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300</v>
      </c>
      <c r="G282" s="18">
        <v>64.91</v>
      </c>
      <c r="H282" s="18">
        <v>789.87</v>
      </c>
      <c r="I282" s="18"/>
      <c r="J282" s="18">
        <v>8038.85</v>
      </c>
      <c r="K282" s="18"/>
      <c r="L282" s="19">
        <f t="shared" si="12"/>
        <v>9193.630000000001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1385.91</v>
      </c>
      <c r="L283" s="19">
        <f t="shared" si="12"/>
        <v>1385.91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15971.12</v>
      </c>
      <c r="K286" s="18"/>
      <c r="L286" s="19">
        <f t="shared" si="12"/>
        <v>15971.12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59713.5</v>
      </c>
      <c r="G290" s="42">
        <f t="shared" si="13"/>
        <v>11671.34</v>
      </c>
      <c r="H290" s="42">
        <f t="shared" si="13"/>
        <v>789.87</v>
      </c>
      <c r="I290" s="42">
        <f t="shared" si="13"/>
        <v>654.37</v>
      </c>
      <c r="J290" s="42">
        <f t="shared" si="13"/>
        <v>27077.03</v>
      </c>
      <c r="K290" s="42">
        <f t="shared" si="13"/>
        <v>1385.91</v>
      </c>
      <c r="L290" s="41">
        <f t="shared" si="13"/>
        <v>101292.02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59713.5</v>
      </c>
      <c r="G338" s="41">
        <f t="shared" si="20"/>
        <v>11671.34</v>
      </c>
      <c r="H338" s="41">
        <f t="shared" si="20"/>
        <v>789.87</v>
      </c>
      <c r="I338" s="41">
        <f t="shared" si="20"/>
        <v>654.37</v>
      </c>
      <c r="J338" s="41">
        <f t="shared" si="20"/>
        <v>27077.03</v>
      </c>
      <c r="K338" s="41">
        <f t="shared" si="20"/>
        <v>1385.91</v>
      </c>
      <c r="L338" s="41">
        <f t="shared" si="20"/>
        <v>101292.02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59713.5</v>
      </c>
      <c r="G352" s="41">
        <f>G338</f>
        <v>11671.34</v>
      </c>
      <c r="H352" s="41">
        <f>H338</f>
        <v>789.87</v>
      </c>
      <c r="I352" s="41">
        <f>I338</f>
        <v>654.37</v>
      </c>
      <c r="J352" s="41">
        <f>J338</f>
        <v>27077.03</v>
      </c>
      <c r="K352" s="47">
        <f>K338+K351</f>
        <v>1385.91</v>
      </c>
      <c r="L352" s="41">
        <f>L338+L351</f>
        <v>101292.02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>
        <f>2835.16+1549.92</f>
        <v>4385.08</v>
      </c>
      <c r="H358" s="18">
        <v>96778</v>
      </c>
      <c r="I358" s="18"/>
      <c r="J358" s="18"/>
      <c r="K358" s="18"/>
      <c r="L358" s="13">
        <f>SUM(F358:K358)</f>
        <v>101163.08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4385.08</v>
      </c>
      <c r="H362" s="47">
        <f t="shared" si="22"/>
        <v>96778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101163.08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11.5</v>
      </c>
      <c r="I395" s="18"/>
      <c r="J395" s="24" t="s">
        <v>289</v>
      </c>
      <c r="K395" s="24" t="s">
        <v>289</v>
      </c>
      <c r="L395" s="56">
        <f t="shared" ref="L395:L400" si="26">SUM(F395:K395)</f>
        <v>11.5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15.61</v>
      </c>
      <c r="I396" s="18"/>
      <c r="J396" s="24" t="s">
        <v>289</v>
      </c>
      <c r="K396" s="24" t="s">
        <v>289</v>
      </c>
      <c r="L396" s="56">
        <f t="shared" si="26"/>
        <v>10015.61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210.44</v>
      </c>
      <c r="I397" s="18"/>
      <c r="J397" s="24" t="s">
        <v>289</v>
      </c>
      <c r="K397" s="24" t="s">
        <v>289</v>
      </c>
      <c r="L397" s="56">
        <f t="shared" si="26"/>
        <v>210.44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237.55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10237.550000000001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237.55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10237.550000000001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44997.68+66605.79+10015.61</f>
        <v>121619.08</v>
      </c>
      <c r="H439" s="18"/>
      <c r="I439" s="56">
        <f t="shared" ref="I439:I445" si="33">SUM(F439:H439)</f>
        <v>121619.08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121619.08</v>
      </c>
      <c r="H446" s="13">
        <f>SUM(H439:H445)</f>
        <v>0</v>
      </c>
      <c r="I446" s="13">
        <f>SUM(I439:I445)</f>
        <v>121619.08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121619.08</v>
      </c>
      <c r="H459" s="18"/>
      <c r="I459" s="56">
        <f t="shared" si="34"/>
        <v>121619.08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121619.08</v>
      </c>
      <c r="H460" s="83">
        <f>SUM(H454:H459)</f>
        <v>0</v>
      </c>
      <c r="I460" s="83">
        <f>SUM(I454:I459)</f>
        <v>121619.08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121619.08</v>
      </c>
      <c r="H461" s="42">
        <f>H452+H460</f>
        <v>0</v>
      </c>
      <c r="I461" s="42">
        <f>I452+I460</f>
        <v>121619.08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129001.9700000002</v>
      </c>
      <c r="G465" s="18">
        <v>-321.08999999999651</v>
      </c>
      <c r="H465" s="18">
        <v>3260.9099999999889</v>
      </c>
      <c r="I465" s="18">
        <v>0</v>
      </c>
      <c r="J465" s="18">
        <v>111381.53000000001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2785501.56</v>
      </c>
      <c r="G468" s="18">
        <v>101486.14</v>
      </c>
      <c r="H468" s="18">
        <v>103752.7</v>
      </c>
      <c r="I468" s="18"/>
      <c r="J468" s="18">
        <v>10237.549999999999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2785501.56</v>
      </c>
      <c r="G470" s="53">
        <f>SUM(G468:G469)</f>
        <v>101486.14</v>
      </c>
      <c r="H470" s="53">
        <f>SUM(H468:H469)</f>
        <v>103752.7</v>
      </c>
      <c r="I470" s="53">
        <f>SUM(I468:I469)</f>
        <v>0</v>
      </c>
      <c r="J470" s="53">
        <f>SUM(J468:J469)</f>
        <v>10237.549999999999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2636343.9900000002</v>
      </c>
      <c r="G472" s="18">
        <v>101163.08</v>
      </c>
      <c r="H472" s="18">
        <v>101292.02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2636343.9900000002</v>
      </c>
      <c r="G474" s="53">
        <f>SUM(G472:G473)</f>
        <v>101163.08</v>
      </c>
      <c r="H474" s="53">
        <f>SUM(H472:H473)</f>
        <v>101292.02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278159.54000000004</v>
      </c>
      <c r="G476" s="53">
        <f>(G465+G470)- G474</f>
        <v>1.9700000000011642</v>
      </c>
      <c r="H476" s="53">
        <f>(H465+H470)- H474</f>
        <v>5721.589999999982</v>
      </c>
      <c r="I476" s="53">
        <f>(I465+I470)- I474</f>
        <v>0</v>
      </c>
      <c r="J476" s="53">
        <f>(J465+J470)- J474</f>
        <v>121619.08000000002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99223.03</v>
      </c>
      <c r="G521" s="18">
        <v>45135.71</v>
      </c>
      <c r="H521" s="18">
        <v>48362.38</v>
      </c>
      <c r="I521" s="18">
        <v>411</v>
      </c>
      <c r="J521" s="18"/>
      <c r="K521" s="18"/>
      <c r="L521" s="88">
        <f>SUM(F521:K521)</f>
        <v>193132.12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99223.03</v>
      </c>
      <c r="G524" s="108">
        <f t="shared" ref="G524:L524" si="36">SUM(G521:G523)</f>
        <v>45135.71</v>
      </c>
      <c r="H524" s="108">
        <f t="shared" si="36"/>
        <v>48362.38</v>
      </c>
      <c r="I524" s="108">
        <f t="shared" si="36"/>
        <v>411</v>
      </c>
      <c r="J524" s="108">
        <f t="shared" si="36"/>
        <v>0</v>
      </c>
      <c r="K524" s="108">
        <f t="shared" si="36"/>
        <v>0</v>
      </c>
      <c r="L524" s="89">
        <f t="shared" si="36"/>
        <v>193132.12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30124.22</v>
      </c>
      <c r="G526" s="18">
        <v>13322.88</v>
      </c>
      <c r="H526" s="18">
        <v>39896.839999999997</v>
      </c>
      <c r="I526" s="18">
        <v>1058.23</v>
      </c>
      <c r="J526" s="18">
        <v>549</v>
      </c>
      <c r="K526" s="18">
        <v>17</v>
      </c>
      <c r="L526" s="88">
        <f>SUM(F526:K526)</f>
        <v>84968.17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30124.22</v>
      </c>
      <c r="G529" s="89">
        <f t="shared" ref="G529:L529" si="37">SUM(G526:G528)</f>
        <v>13322.88</v>
      </c>
      <c r="H529" s="89">
        <f t="shared" si="37"/>
        <v>39896.839999999997</v>
      </c>
      <c r="I529" s="89">
        <f t="shared" si="37"/>
        <v>1058.23</v>
      </c>
      <c r="J529" s="89">
        <f t="shared" si="37"/>
        <v>549</v>
      </c>
      <c r="K529" s="89">
        <f t="shared" si="37"/>
        <v>17</v>
      </c>
      <c r="L529" s="89">
        <f t="shared" si="37"/>
        <v>84968.17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10452.92</v>
      </c>
      <c r="I531" s="18"/>
      <c r="J531" s="18"/>
      <c r="K531" s="18"/>
      <c r="L531" s="88">
        <f>SUM(F531:K531)</f>
        <v>10452.92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10452.92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10452.92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31037</v>
      </c>
      <c r="I541" s="18"/>
      <c r="J541" s="18"/>
      <c r="K541" s="18"/>
      <c r="L541" s="88">
        <f>SUM(F541:K541)</f>
        <v>31037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31037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31037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129347.25</v>
      </c>
      <c r="G545" s="89">
        <f t="shared" ref="G545:L545" si="41">G524+G529+G534+G539+G544</f>
        <v>58458.59</v>
      </c>
      <c r="H545" s="89">
        <f t="shared" si="41"/>
        <v>129749.14</v>
      </c>
      <c r="I545" s="89">
        <f t="shared" si="41"/>
        <v>1469.23</v>
      </c>
      <c r="J545" s="89">
        <f t="shared" si="41"/>
        <v>549</v>
      </c>
      <c r="K545" s="89">
        <f t="shared" si="41"/>
        <v>17</v>
      </c>
      <c r="L545" s="89">
        <f t="shared" si="41"/>
        <v>319590.20999999996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193132.12</v>
      </c>
      <c r="G549" s="87">
        <f>L526</f>
        <v>84968.17</v>
      </c>
      <c r="H549" s="87">
        <f>L531</f>
        <v>10452.92</v>
      </c>
      <c r="I549" s="87">
        <f>L536</f>
        <v>0</v>
      </c>
      <c r="J549" s="87">
        <f>L541</f>
        <v>31037</v>
      </c>
      <c r="K549" s="87">
        <f>SUM(F549:J549)</f>
        <v>319590.20999999996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193132.12</v>
      </c>
      <c r="G552" s="89">
        <f t="shared" si="42"/>
        <v>84968.17</v>
      </c>
      <c r="H552" s="89">
        <f t="shared" si="42"/>
        <v>10452.92</v>
      </c>
      <c r="I552" s="89">
        <f t="shared" si="42"/>
        <v>0</v>
      </c>
      <c r="J552" s="89">
        <f t="shared" si="42"/>
        <v>31037</v>
      </c>
      <c r="K552" s="89">
        <f t="shared" si="42"/>
        <v>319590.20999999996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12614.68</v>
      </c>
      <c r="G579" s="18"/>
      <c r="H579" s="18"/>
      <c r="I579" s="87">
        <f t="shared" si="47"/>
        <v>12614.68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33610.06</v>
      </c>
      <c r="G582" s="18"/>
      <c r="H582" s="18"/>
      <c r="I582" s="87">
        <f t="shared" si="47"/>
        <v>33610.06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42331</v>
      </c>
      <c r="I591" s="18"/>
      <c r="J591" s="18"/>
      <c r="K591" s="104">
        <f t="shared" ref="K591:K597" si="48">SUM(H591:J591)</f>
        <v>42331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31037</v>
      </c>
      <c r="I592" s="18"/>
      <c r="J592" s="18"/>
      <c r="K592" s="104">
        <f t="shared" si="48"/>
        <v>31037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3310</v>
      </c>
      <c r="I594" s="18"/>
      <c r="J594" s="18"/>
      <c r="K594" s="104">
        <f t="shared" si="48"/>
        <v>3310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2504.6999999999998</v>
      </c>
      <c r="I595" s="18"/>
      <c r="J595" s="18"/>
      <c r="K595" s="104">
        <f t="shared" si="48"/>
        <v>2504.6999999999998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517.44000000000005</v>
      </c>
      <c r="I597" s="18"/>
      <c r="J597" s="18"/>
      <c r="K597" s="104">
        <f t="shared" si="48"/>
        <v>517.44000000000005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79700.14</v>
      </c>
      <c r="I598" s="108">
        <f>SUM(I591:I597)</f>
        <v>0</v>
      </c>
      <c r="J598" s="108">
        <f>SUM(J591:J597)</f>
        <v>0</v>
      </c>
      <c r="K598" s="108">
        <f>SUM(K591:K597)</f>
        <v>79700.14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62934.64</v>
      </c>
      <c r="I604" s="18"/>
      <c r="J604" s="18"/>
      <c r="K604" s="104">
        <f>SUM(H604:J604)</f>
        <v>62934.64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62934.64</v>
      </c>
      <c r="I605" s="108">
        <f>SUM(I602:I604)</f>
        <v>0</v>
      </c>
      <c r="J605" s="108">
        <f>SUM(J602:J604)</f>
        <v>0</v>
      </c>
      <c r="K605" s="108">
        <f>SUM(K602:K604)</f>
        <v>62934.64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1836</v>
      </c>
      <c r="G611" s="18">
        <v>395.99</v>
      </c>
      <c r="H611" s="18"/>
      <c r="I611" s="18"/>
      <c r="J611" s="18"/>
      <c r="K611" s="18"/>
      <c r="L611" s="88">
        <f>SUM(F611:K611)</f>
        <v>2231.9899999999998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1836</v>
      </c>
      <c r="G614" s="108">
        <f t="shared" si="49"/>
        <v>395.99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2231.9899999999998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1551081.0499999998</v>
      </c>
      <c r="H617" s="109">
        <f>SUM(F52)</f>
        <v>1551081.0500000003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476298.55</v>
      </c>
      <c r="H618" s="109">
        <f>SUM(G52)</f>
        <v>476298.55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798053.20000000007</v>
      </c>
      <c r="H619" s="109">
        <f>SUM(H52)</f>
        <v>798053.2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121619.08</v>
      </c>
      <c r="H621" s="109">
        <f>SUM(J52)</f>
        <v>121619.08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278159.53999999998</v>
      </c>
      <c r="H622" s="109">
        <f>F476</f>
        <v>278159.54000000004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1.97</v>
      </c>
      <c r="H623" s="109">
        <f>G476</f>
        <v>1.9700000000011642</v>
      </c>
      <c r="I623" s="121" t="s">
        <v>102</v>
      </c>
      <c r="J623" s="109">
        <f t="shared" si="50"/>
        <v>-1.1641798636219391E-12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5721.59</v>
      </c>
      <c r="H624" s="109">
        <f>H476</f>
        <v>5721.589999999982</v>
      </c>
      <c r="I624" s="121" t="s">
        <v>103</v>
      </c>
      <c r="J624" s="109">
        <f t="shared" si="50"/>
        <v>1.8189894035458565E-11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121619.08</v>
      </c>
      <c r="H626" s="109">
        <f>J476</f>
        <v>121619.08000000002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2785501.56</v>
      </c>
      <c r="H627" s="104">
        <f>SUM(F468)</f>
        <v>2785501.56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101486.14</v>
      </c>
      <c r="H628" s="104">
        <f>SUM(G468)</f>
        <v>101486.14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103752.7</v>
      </c>
      <c r="H629" s="104">
        <f>SUM(H468)</f>
        <v>103752.7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10237.549999999999</v>
      </c>
      <c r="H631" s="104">
        <f>SUM(J468)</f>
        <v>10237.549999999999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2636343.9900000002</v>
      </c>
      <c r="H632" s="104">
        <f>SUM(F472)</f>
        <v>2636343.9900000002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101292.02</v>
      </c>
      <c r="H633" s="104">
        <f>SUM(H472)</f>
        <v>101292.02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101163.08</v>
      </c>
      <c r="H635" s="104">
        <f>SUM(G472)</f>
        <v>101163.08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10237.550000000001</v>
      </c>
      <c r="H637" s="164">
        <f>SUM(J468)</f>
        <v>10237.549999999999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121619.08</v>
      </c>
      <c r="H640" s="104">
        <f>SUM(G461)</f>
        <v>121619.08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121619.08</v>
      </c>
      <c r="H642" s="104">
        <f>SUM(I461)</f>
        <v>121619.08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237.55</v>
      </c>
      <c r="H644" s="104">
        <f>H408</f>
        <v>237.55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10237.549999999999</v>
      </c>
      <c r="H646" s="104">
        <f>L408</f>
        <v>10237.550000000001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79700.14</v>
      </c>
      <c r="H647" s="104">
        <f>L208+L226+L244</f>
        <v>79700.14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62934.64</v>
      </c>
      <c r="H648" s="104">
        <f>(J257+J338)-(J255+J336)</f>
        <v>62934.64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79700.14</v>
      </c>
      <c r="H649" s="104">
        <f>H598</f>
        <v>79700.14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23860</v>
      </c>
      <c r="H652" s="104">
        <f>K263+K345</f>
        <v>23860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2804939.0900000003</v>
      </c>
      <c r="G660" s="19">
        <f>(L229+L309+L359)</f>
        <v>0</v>
      </c>
      <c r="H660" s="19">
        <f>(L247+L328+L360)</f>
        <v>0</v>
      </c>
      <c r="I660" s="19">
        <f>SUM(F660:H660)</f>
        <v>2804939.0900000003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21856.5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21856.5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79700.14</v>
      </c>
      <c r="G662" s="19">
        <f>(L226+L306)-(J226+J306)</f>
        <v>0</v>
      </c>
      <c r="H662" s="19">
        <f>(L244+L325)-(J244+J325)</f>
        <v>0</v>
      </c>
      <c r="I662" s="19">
        <f>SUM(F662:H662)</f>
        <v>79700.14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111391.37000000001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111391.37000000001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2591991.08</v>
      </c>
      <c r="G664" s="19">
        <f>G660-SUM(G661:G663)</f>
        <v>0</v>
      </c>
      <c r="H664" s="19">
        <f>H660-SUM(H661:H663)</f>
        <v>0</v>
      </c>
      <c r="I664" s="19">
        <f>I660-SUM(I661:I663)</f>
        <v>2591991.08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168.5</v>
      </c>
      <c r="G665" s="248"/>
      <c r="H665" s="248"/>
      <c r="I665" s="19">
        <f>SUM(F665:H665)</f>
        <v>168.5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15382.74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15382.74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15382.74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15382.74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Ashland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925304.35</v>
      </c>
      <c r="C9" s="229">
        <f>'DOE25'!G197+'DOE25'!G215+'DOE25'!G233+'DOE25'!G276+'DOE25'!G295+'DOE25'!G314</f>
        <v>409766.68</v>
      </c>
    </row>
    <row r="10" spans="1:3" x14ac:dyDescent="0.2">
      <c r="A10" t="s">
        <v>779</v>
      </c>
      <c r="B10" s="240">
        <v>874902.89</v>
      </c>
      <c r="C10" s="240">
        <v>385319.82</v>
      </c>
    </row>
    <row r="11" spans="1:3" x14ac:dyDescent="0.2">
      <c r="A11" t="s">
        <v>780</v>
      </c>
      <c r="B11" s="240">
        <v>34601.46</v>
      </c>
      <c r="C11" s="240">
        <v>23238.16</v>
      </c>
    </row>
    <row r="12" spans="1:3" x14ac:dyDescent="0.2">
      <c r="A12" t="s">
        <v>781</v>
      </c>
      <c r="B12" s="240">
        <v>15800</v>
      </c>
      <c r="C12" s="240">
        <v>1208.7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925304.35</v>
      </c>
      <c r="C13" s="231">
        <f>SUM(C10:C12)</f>
        <v>409766.68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99223.03</v>
      </c>
      <c r="C18" s="229">
        <f>'DOE25'!G198+'DOE25'!G216+'DOE25'!G234+'DOE25'!G277+'DOE25'!G296+'DOE25'!G315</f>
        <v>45135.71</v>
      </c>
    </row>
    <row r="19" spans="1:3" x14ac:dyDescent="0.2">
      <c r="A19" t="s">
        <v>779</v>
      </c>
      <c r="B19" s="240">
        <v>57689</v>
      </c>
      <c r="C19" s="240">
        <v>38812.92</v>
      </c>
    </row>
    <row r="20" spans="1:3" x14ac:dyDescent="0.2">
      <c r="A20" t="s">
        <v>780</v>
      </c>
      <c r="B20" s="240">
        <v>39971.53</v>
      </c>
      <c r="C20" s="240">
        <v>6203.26</v>
      </c>
    </row>
    <row r="21" spans="1:3" x14ac:dyDescent="0.2">
      <c r="A21" t="s">
        <v>781</v>
      </c>
      <c r="B21" s="240">
        <v>1562.5</v>
      </c>
      <c r="C21" s="240">
        <v>119.53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99223.03</v>
      </c>
      <c r="C22" s="231">
        <f>SUM(C19:C21)</f>
        <v>45135.71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28766</v>
      </c>
      <c r="C36" s="235">
        <f>'DOE25'!G200+'DOE25'!G218+'DOE25'!G236+'DOE25'!G279+'DOE25'!G298+'DOE25'!G317</f>
        <v>5459.6399999999994</v>
      </c>
    </row>
    <row r="37" spans="1:3" x14ac:dyDescent="0.2">
      <c r="A37" t="s">
        <v>779</v>
      </c>
      <c r="B37" s="240">
        <v>23566</v>
      </c>
      <c r="C37" s="240">
        <v>5061.84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5200</v>
      </c>
      <c r="C39" s="240">
        <v>397.8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28766</v>
      </c>
      <c r="C40" s="231">
        <f>SUM(C37:C39)</f>
        <v>5459.64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Ashland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1535004.88</v>
      </c>
      <c r="D5" s="20">
        <f>SUM('DOE25'!L197:L200)+SUM('DOE25'!L215:L218)+SUM('DOE25'!L233:L236)-F5-G5</f>
        <v>1530153.2799999998</v>
      </c>
      <c r="E5" s="243"/>
      <c r="F5" s="255">
        <f>SUM('DOE25'!J197:J200)+SUM('DOE25'!J215:J218)+SUM('DOE25'!J233:J236)</f>
        <v>4661.6000000000004</v>
      </c>
      <c r="G5" s="53">
        <f>SUM('DOE25'!K197:K200)+SUM('DOE25'!K215:K218)+SUM('DOE25'!K233:K236)</f>
        <v>190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218465.13999999998</v>
      </c>
      <c r="D6" s="20">
        <f>'DOE25'!L202+'DOE25'!L220+'DOE25'!L238-F6-G6</f>
        <v>217831.13999999998</v>
      </c>
      <c r="E6" s="243"/>
      <c r="F6" s="255">
        <f>'DOE25'!J202+'DOE25'!J220+'DOE25'!J238</f>
        <v>549</v>
      </c>
      <c r="G6" s="53">
        <f>'DOE25'!K202+'DOE25'!K220+'DOE25'!K238</f>
        <v>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137129.82999999999</v>
      </c>
      <c r="D7" s="20">
        <f>'DOE25'!L203+'DOE25'!L221+'DOE25'!L239-F7-G7</f>
        <v>129832.88999999998</v>
      </c>
      <c r="E7" s="243"/>
      <c r="F7" s="255">
        <f>'DOE25'!J203+'DOE25'!J221+'DOE25'!J239</f>
        <v>7242.9400000000005</v>
      </c>
      <c r="G7" s="53">
        <f>'DOE25'!K203+'DOE25'!K221+'DOE25'!K239</f>
        <v>54</v>
      </c>
      <c r="H7" s="259"/>
    </row>
    <row r="8" spans="1:9" x14ac:dyDescent="0.2">
      <c r="A8" s="32">
        <v>2300</v>
      </c>
      <c r="B8" t="s">
        <v>802</v>
      </c>
      <c r="C8" s="245">
        <f t="shared" si="0"/>
        <v>54383.130000000005</v>
      </c>
      <c r="D8" s="243"/>
      <c r="E8" s="20">
        <f>'DOE25'!L204+'DOE25'!L222+'DOE25'!L240-F8-G8-D9-D11</f>
        <v>53453.130000000005</v>
      </c>
      <c r="F8" s="255">
        <f>'DOE25'!J204+'DOE25'!J222+'DOE25'!J240</f>
        <v>0</v>
      </c>
      <c r="G8" s="53">
        <f>'DOE25'!K204+'DOE25'!K222+'DOE25'!K240</f>
        <v>930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12001.84</v>
      </c>
      <c r="D9" s="244">
        <v>12001.84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9825</v>
      </c>
      <c r="D10" s="243"/>
      <c r="E10" s="244">
        <v>9825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32461.63</v>
      </c>
      <c r="D11" s="244">
        <v>32461.63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183029.32</v>
      </c>
      <c r="D12" s="20">
        <f>'DOE25'!L205+'DOE25'!L223+'DOE25'!L241-F12-G12</f>
        <v>183029.32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350308.08</v>
      </c>
      <c r="D14" s="20">
        <f>'DOE25'!L207+'DOE25'!L225+'DOE25'!L243-F14-G14</f>
        <v>326904.01</v>
      </c>
      <c r="E14" s="243"/>
      <c r="F14" s="255">
        <f>'DOE25'!J207+'DOE25'!J225+'DOE25'!J243</f>
        <v>23404.07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79700.14</v>
      </c>
      <c r="D15" s="20">
        <f>'DOE25'!L208+'DOE25'!L226+'DOE25'!L244-F15-G15</f>
        <v>79700.14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101163.08</v>
      </c>
      <c r="D29" s="20">
        <f>'DOE25'!L358+'DOE25'!L359+'DOE25'!L360-'DOE25'!I367-F29-G29</f>
        <v>101163.08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101292.02</v>
      </c>
      <c r="D31" s="20">
        <f>'DOE25'!L290+'DOE25'!L309+'DOE25'!L328+'DOE25'!L333+'DOE25'!L334+'DOE25'!L335-F31-G31</f>
        <v>72829.08</v>
      </c>
      <c r="E31" s="243"/>
      <c r="F31" s="255">
        <f>'DOE25'!J290+'DOE25'!J309+'DOE25'!J328+'DOE25'!J333+'DOE25'!J334+'DOE25'!J335</f>
        <v>27077.03</v>
      </c>
      <c r="G31" s="53">
        <f>'DOE25'!K290+'DOE25'!K309+'DOE25'!K328+'DOE25'!K333+'DOE25'!K334+'DOE25'!K335</f>
        <v>1385.91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2685906.4099999997</v>
      </c>
      <c r="E33" s="246">
        <f>SUM(E5:E31)</f>
        <v>63278.130000000005</v>
      </c>
      <c r="F33" s="246">
        <f>SUM(F5:F31)</f>
        <v>62934.64</v>
      </c>
      <c r="G33" s="246">
        <f>SUM(G5:G31)</f>
        <v>2644.91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63278.130000000005</v>
      </c>
      <c r="E35" s="249"/>
    </row>
    <row r="36" spans="2:8" ht="12" thickTop="1" x14ac:dyDescent="0.2">
      <c r="B36" t="s">
        <v>815</v>
      </c>
      <c r="D36" s="20">
        <f>D33</f>
        <v>2685906.4099999997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286293.37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121619.08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1263531.68</v>
      </c>
      <c r="D11" s="95">
        <f>'DOE25'!G12</f>
        <v>467194.45</v>
      </c>
      <c r="E11" s="95">
        <f>'DOE25'!H12</f>
        <v>789043.16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988.16</v>
      </c>
      <c r="D12" s="95">
        <f>'DOE25'!G13</f>
        <v>9299.42</v>
      </c>
      <c r="E12" s="95">
        <f>'DOE25'!H13</f>
        <v>9010.0400000000009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267.83999999999997</v>
      </c>
      <c r="D13" s="95">
        <f>'DOE25'!G14</f>
        <v>-195.32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1551081.0499999998</v>
      </c>
      <c r="D18" s="41">
        <f>SUM(D8:D17)</f>
        <v>476298.55</v>
      </c>
      <c r="E18" s="41">
        <f>SUM(E8:E17)</f>
        <v>798053.20000000007</v>
      </c>
      <c r="F18" s="41">
        <f>SUM(F8:F17)</f>
        <v>0</v>
      </c>
      <c r="G18" s="41">
        <f>SUM(G8:G17)</f>
        <v>121619.08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1256237.6100000001</v>
      </c>
      <c r="D21" s="95">
        <f>'DOE25'!G22</f>
        <v>471241.08</v>
      </c>
      <c r="E21" s="95">
        <f>'DOE25'!H22</f>
        <v>792290.6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15460.61</v>
      </c>
      <c r="D23" s="95">
        <f>'DOE25'!G24</f>
        <v>5055.5</v>
      </c>
      <c r="E23" s="95">
        <f>'DOE25'!H24</f>
        <v>41.01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843.79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379.5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1272921.5100000002</v>
      </c>
      <c r="D31" s="41">
        <f>SUM(D21:D30)</f>
        <v>476296.58</v>
      </c>
      <c r="E31" s="41">
        <f>SUM(E21:E30)</f>
        <v>792331.61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1.97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5721.59</v>
      </c>
      <c r="F47" s="95">
        <f>'DOE25'!I48</f>
        <v>0</v>
      </c>
      <c r="G47" s="95">
        <f>'DOE25'!J48</f>
        <v>121619.08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213065.15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45094.39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278159.53999999998</v>
      </c>
      <c r="D50" s="41">
        <f>SUM(D34:D49)</f>
        <v>1.97</v>
      </c>
      <c r="E50" s="41">
        <f>SUM(E34:E49)</f>
        <v>5721.59</v>
      </c>
      <c r="F50" s="41">
        <f>SUM(F34:F49)</f>
        <v>0</v>
      </c>
      <c r="G50" s="41">
        <f>SUM(G34:G49)</f>
        <v>121619.08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1551081.0500000003</v>
      </c>
      <c r="D51" s="41">
        <f>D50+D31</f>
        <v>476298.55</v>
      </c>
      <c r="E51" s="41">
        <f>E50+E31</f>
        <v>798053.2</v>
      </c>
      <c r="F51" s="41">
        <f>F50+F31</f>
        <v>0</v>
      </c>
      <c r="G51" s="41">
        <f>G50+G31</f>
        <v>121619.08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1821415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391.71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237.55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21856.5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2300.5100000000002</v>
      </c>
      <c r="D61" s="95">
        <f>SUM('DOE25'!G98:G110)</f>
        <v>0</v>
      </c>
      <c r="E61" s="95">
        <f>SUM('DOE25'!H98:H110)</f>
        <v>5782.69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2692.2200000000003</v>
      </c>
      <c r="D62" s="130">
        <f>SUM(D57:D61)</f>
        <v>21856.5</v>
      </c>
      <c r="E62" s="130">
        <f>SUM(E57:E61)</f>
        <v>5782.69</v>
      </c>
      <c r="F62" s="130">
        <f>SUM(F57:F61)</f>
        <v>0</v>
      </c>
      <c r="G62" s="130">
        <f>SUM(G57:G61)</f>
        <v>237.55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1824107.22</v>
      </c>
      <c r="D63" s="22">
        <f>D56+D62</f>
        <v>21856.5</v>
      </c>
      <c r="E63" s="22">
        <f>E56+E62</f>
        <v>5782.69</v>
      </c>
      <c r="F63" s="22">
        <f>F56+F62</f>
        <v>0</v>
      </c>
      <c r="G63" s="22">
        <f>G56+G62</f>
        <v>237.55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547788.43999999994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398439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946227.44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1249.99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1249.99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946227.44</v>
      </c>
      <c r="D81" s="130">
        <f>SUM(D79:D80)+D78+D70</f>
        <v>1249.99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14748.29</v>
      </c>
      <c r="D88" s="95">
        <f>SUM('DOE25'!G153:G161)</f>
        <v>54519.649999999994</v>
      </c>
      <c r="E88" s="95">
        <f>SUM('DOE25'!H153:H161)</f>
        <v>97970.01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418.61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15166.900000000001</v>
      </c>
      <c r="D91" s="131">
        <f>SUM(D85:D90)</f>
        <v>54519.649999999994</v>
      </c>
      <c r="E91" s="131">
        <f>SUM(E85:E90)</f>
        <v>97970.01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23860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23860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2785501.56</v>
      </c>
      <c r="D104" s="86">
        <f>D63+D81+D91+D103</f>
        <v>101486.14</v>
      </c>
      <c r="E104" s="86">
        <f>E63+E81+E91+E103</f>
        <v>103752.7</v>
      </c>
      <c r="F104" s="86">
        <f>F63+F81+F91+F103</f>
        <v>0</v>
      </c>
      <c r="G104" s="86">
        <f>G63+G81+G103</f>
        <v>10237.549999999999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1303678.49</v>
      </c>
      <c r="D109" s="24" t="s">
        <v>289</v>
      </c>
      <c r="E109" s="95">
        <f>('DOE25'!L276)+('DOE25'!L295)+('DOE25'!L314)</f>
        <v>72509.37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193132.12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38194.269999999997</v>
      </c>
      <c r="D112" s="24" t="s">
        <v>289</v>
      </c>
      <c r="E112" s="95">
        <f>+('DOE25'!L279)+('DOE25'!L298)+('DOE25'!L317)</f>
        <v>2231.9899999999998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1535004.88</v>
      </c>
      <c r="D115" s="86">
        <f>SUM(D109:D114)</f>
        <v>0</v>
      </c>
      <c r="E115" s="86">
        <f>SUM(E109:E114)</f>
        <v>74741.36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218465.13999999998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137129.82999999999</v>
      </c>
      <c r="D119" s="24" t="s">
        <v>289</v>
      </c>
      <c r="E119" s="95">
        <f>+('DOE25'!L282)+('DOE25'!L301)+('DOE25'!L320)</f>
        <v>9193.630000000001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98846.6</v>
      </c>
      <c r="D120" s="24" t="s">
        <v>289</v>
      </c>
      <c r="E120" s="95">
        <f>+('DOE25'!L283)+('DOE25'!L302)+('DOE25'!L321)</f>
        <v>1385.91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183029.32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350308.08</v>
      </c>
      <c r="D123" s="24" t="s">
        <v>289</v>
      </c>
      <c r="E123" s="95">
        <f>+('DOE25'!L286)+('DOE25'!L305)+('DOE25'!L324)</f>
        <v>15971.12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79700.14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101163.08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1067479.1099999999</v>
      </c>
      <c r="D128" s="86">
        <f>SUM(D118:D127)</f>
        <v>101163.08</v>
      </c>
      <c r="E128" s="86">
        <f>SUM(E118:E127)</f>
        <v>26550.660000000003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23860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10237.550000000001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-237.55000000000109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33860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2636343.9899999998</v>
      </c>
      <c r="D145" s="86">
        <f>(D115+D128+D144)</f>
        <v>101163.08</v>
      </c>
      <c r="E145" s="86">
        <f>(E115+E128+E144)</f>
        <v>101292.02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Ashland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15383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15383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1376188</v>
      </c>
      <c r="D10" s="182">
        <f>ROUND((C10/$C$28)*100,1)</f>
        <v>49.4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193132</v>
      </c>
      <c r="D11" s="182">
        <f>ROUND((C11/$C$28)*100,1)</f>
        <v>6.9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40426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218465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146323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100233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183029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366279</v>
      </c>
      <c r="D20" s="182">
        <f t="shared" si="0"/>
        <v>13.2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79700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79306.5</v>
      </c>
      <c r="D27" s="182">
        <f t="shared" si="0"/>
        <v>2.8</v>
      </c>
    </row>
    <row r="28" spans="1:4" x14ac:dyDescent="0.2">
      <c r="B28" s="187" t="s">
        <v>723</v>
      </c>
      <c r="C28" s="180">
        <f>SUM(C10:C27)</f>
        <v>2783081.5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2783081.5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1821415</v>
      </c>
      <c r="D35" s="182">
        <f t="shared" ref="D35:D40" si="1">ROUND((C35/$C$41)*100,1)</f>
        <v>61.8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8712.4599999999627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946227</v>
      </c>
      <c r="D37" s="182">
        <f t="shared" si="1"/>
        <v>32.1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1250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167657</v>
      </c>
      <c r="D39" s="182">
        <f t="shared" si="1"/>
        <v>5.7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2945261.46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Ashland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2014-08-26T19:32:09Z</cp:lastPrinted>
  <dcterms:created xsi:type="dcterms:W3CDTF">1997-12-04T19:04:30Z</dcterms:created>
  <dcterms:modified xsi:type="dcterms:W3CDTF">2014-09-04T16:41:12Z</dcterms:modified>
</cp:coreProperties>
</file>