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1" i="1" l="1"/>
  <c r="H526" i="1" l="1"/>
  <c r="H523" i="1"/>
  <c r="H522" i="1"/>
  <c r="H521" i="1"/>
  <c r="I282" i="1"/>
  <c r="H244" i="1"/>
  <c r="H208" i="1"/>
  <c r="H282" i="1"/>
  <c r="I281" i="1"/>
  <c r="H281" i="1"/>
  <c r="G281" i="1"/>
  <c r="F281" i="1"/>
  <c r="H209" i="1"/>
  <c r="H207" i="1"/>
  <c r="H205" i="1"/>
  <c r="H204" i="1"/>
  <c r="I203" i="1"/>
  <c r="H203" i="1"/>
  <c r="G203" i="1"/>
  <c r="F203" i="1"/>
  <c r="H202" i="1"/>
  <c r="I202" i="1"/>
  <c r="G202" i="1"/>
  <c r="F202" i="1"/>
  <c r="G200" i="1"/>
  <c r="H200" i="1"/>
  <c r="F200" i="1"/>
  <c r="I200" i="1"/>
  <c r="G198" i="1"/>
  <c r="F198" i="1"/>
  <c r="H216" i="1"/>
  <c r="H198" i="1"/>
  <c r="I198" i="1"/>
  <c r="H234" i="1"/>
  <c r="K198" i="1"/>
  <c r="J198" i="1"/>
  <c r="F368" i="1"/>
  <c r="F367" i="1"/>
  <c r="I358" i="1"/>
  <c r="H358" i="1"/>
  <c r="G358" i="1"/>
  <c r="F358" i="1"/>
  <c r="J96" i="1"/>
  <c r="H159" i="1"/>
  <c r="H155" i="1"/>
  <c r="H154" i="1"/>
  <c r="C45" i="2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C109" i="2" s="1"/>
  <c r="L198" i="1"/>
  <c r="C110" i="2" s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C119" i="2" s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C13" i="10" s="1"/>
  <c r="L281" i="1"/>
  <c r="L282" i="1"/>
  <c r="L283" i="1"/>
  <c r="E120" i="2" s="1"/>
  <c r="L284" i="1"/>
  <c r="E121" i="2" s="1"/>
  <c r="L285" i="1"/>
  <c r="L286" i="1"/>
  <c r="L287" i="1"/>
  <c r="F662" i="1" s="1"/>
  <c r="L288" i="1"/>
  <c r="E125" i="2" s="1"/>
  <c r="L295" i="1"/>
  <c r="L296" i="1"/>
  <c r="L297" i="1"/>
  <c r="L309" i="1" s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28" i="1" s="1"/>
  <c r="H660" i="1" s="1"/>
  <c r="H664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351" i="1" s="1"/>
  <c r="L255" i="1"/>
  <c r="C29" i="10" s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C35" i="10" s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G162" i="1"/>
  <c r="H147" i="1"/>
  <c r="E85" i="2" s="1"/>
  <c r="H162" i="1"/>
  <c r="I147" i="1"/>
  <c r="I162" i="1"/>
  <c r="I169" i="1" s="1"/>
  <c r="C10" i="10"/>
  <c r="C15" i="10"/>
  <c r="C19" i="10"/>
  <c r="C20" i="10"/>
  <c r="L250" i="1"/>
  <c r="L332" i="1"/>
  <c r="E113" i="2" s="1"/>
  <c r="L254" i="1"/>
  <c r="L268" i="1"/>
  <c r="L269" i="1"/>
  <c r="L349" i="1"/>
  <c r="E142" i="2" s="1"/>
  <c r="L350" i="1"/>
  <c r="I665" i="1"/>
  <c r="I670" i="1"/>
  <c r="L229" i="1"/>
  <c r="H661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H552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L270" i="1" s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E62" i="2" s="1"/>
  <c r="E63" i="2" s="1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C81" i="2" s="1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C112" i="2"/>
  <c r="E112" i="2"/>
  <c r="C113" i="2"/>
  <c r="E114" i="2"/>
  <c r="D115" i="2"/>
  <c r="F115" i="2"/>
  <c r="G115" i="2"/>
  <c r="C118" i="2"/>
  <c r="E118" i="2"/>
  <c r="E119" i="2"/>
  <c r="C120" i="2"/>
  <c r="C122" i="2"/>
  <c r="E122" i="2"/>
  <c r="E123" i="2"/>
  <c r="C124" i="2"/>
  <c r="D127" i="2"/>
  <c r="D128" i="2" s="1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I271" i="1" s="1"/>
  <c r="J211" i="1"/>
  <c r="K211" i="1"/>
  <c r="F229" i="1"/>
  <c r="F257" i="1" s="1"/>
  <c r="F271" i="1" s="1"/>
  <c r="G229" i="1"/>
  <c r="G257" i="1" s="1"/>
  <c r="G271" i="1" s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H461" i="1" s="1"/>
  <c r="H641" i="1" s="1"/>
  <c r="I452" i="1"/>
  <c r="I461" i="1" s="1"/>
  <c r="H642" i="1" s="1"/>
  <c r="F460" i="1"/>
  <c r="G460" i="1"/>
  <c r="G461" i="1" s="1"/>
  <c r="H640" i="1" s="1"/>
  <c r="H460" i="1"/>
  <c r="I460" i="1"/>
  <c r="F461" i="1"/>
  <c r="F470" i="1"/>
  <c r="G470" i="1"/>
  <c r="H470" i="1"/>
  <c r="I470" i="1"/>
  <c r="I476" i="1" s="1"/>
  <c r="H625" i="1" s="1"/>
  <c r="J625" i="1" s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J545" i="1" s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I571" i="1" s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J639" i="1" s="1"/>
  <c r="H639" i="1"/>
  <c r="G640" i="1"/>
  <c r="G641" i="1"/>
  <c r="G643" i="1"/>
  <c r="H643" i="1"/>
  <c r="J643" i="1" s="1"/>
  <c r="G644" i="1"/>
  <c r="H647" i="1"/>
  <c r="G649" i="1"/>
  <c r="J649" i="1" s="1"/>
  <c r="G650" i="1"/>
  <c r="G652" i="1"/>
  <c r="H652" i="1"/>
  <c r="G653" i="1"/>
  <c r="H653" i="1"/>
  <c r="G654" i="1"/>
  <c r="H654" i="1"/>
  <c r="H655" i="1"/>
  <c r="K257" i="1"/>
  <c r="K271" i="1" s="1"/>
  <c r="C26" i="10"/>
  <c r="C70" i="2"/>
  <c r="D62" i="2"/>
  <c r="D63" i="2" s="1"/>
  <c r="D18" i="13"/>
  <c r="C18" i="13" s="1"/>
  <c r="D17" i="13"/>
  <c r="C17" i="13" s="1"/>
  <c r="D31" i="2"/>
  <c r="D50" i="2"/>
  <c r="G157" i="2"/>
  <c r="E103" i="2"/>
  <c r="G62" i="2"/>
  <c r="E13" i="13"/>
  <c r="C13" i="13" s="1"/>
  <c r="J257" i="1"/>
  <c r="J271" i="1" s="1"/>
  <c r="H112" i="1"/>
  <c r="K605" i="1"/>
  <c r="G648" i="1" s="1"/>
  <c r="L419" i="1"/>
  <c r="G552" i="1"/>
  <c r="H476" i="1"/>
  <c r="H624" i="1" s="1"/>
  <c r="F476" i="1"/>
  <c r="H622" i="1" s="1"/>
  <c r="G476" i="1"/>
  <c r="H623" i="1" s="1"/>
  <c r="J623" i="1" s="1"/>
  <c r="F169" i="1"/>
  <c r="I552" i="1"/>
  <c r="K549" i="1"/>
  <c r="G22" i="2"/>
  <c r="J552" i="1"/>
  <c r="H140" i="1"/>
  <c r="L401" i="1"/>
  <c r="C139" i="2" s="1"/>
  <c r="H25" i="13"/>
  <c r="C25" i="13" s="1"/>
  <c r="H338" i="1"/>
  <c r="H352" i="1" s="1"/>
  <c r="G192" i="1"/>
  <c r="F552" i="1"/>
  <c r="E16" i="13"/>
  <c r="C16" i="13" s="1"/>
  <c r="G36" i="2"/>
  <c r="J641" i="1" l="1"/>
  <c r="D5" i="13"/>
  <c r="C5" i="13" s="1"/>
  <c r="H169" i="1"/>
  <c r="K500" i="1"/>
  <c r="J634" i="1"/>
  <c r="J338" i="1"/>
  <c r="J352" i="1" s="1"/>
  <c r="C130" i="2"/>
  <c r="D29" i="13"/>
  <c r="C29" i="13" s="1"/>
  <c r="D15" i="13"/>
  <c r="C15" i="13" s="1"/>
  <c r="K598" i="1"/>
  <c r="G647" i="1" s="1"/>
  <c r="J647" i="1" s="1"/>
  <c r="L544" i="1"/>
  <c r="L524" i="1"/>
  <c r="E124" i="2"/>
  <c r="E128" i="2" s="1"/>
  <c r="C25" i="10"/>
  <c r="C21" i="10"/>
  <c r="C16" i="10"/>
  <c r="C11" i="10"/>
  <c r="L362" i="1"/>
  <c r="G635" i="1" s="1"/>
  <c r="J635" i="1" s="1"/>
  <c r="F22" i="13"/>
  <c r="C22" i="13" s="1"/>
  <c r="D14" i="13"/>
  <c r="C14" i="13" s="1"/>
  <c r="L534" i="1"/>
  <c r="L382" i="1"/>
  <c r="G636" i="1" s="1"/>
  <c r="J636" i="1" s="1"/>
  <c r="F338" i="1"/>
  <c r="F352" i="1" s="1"/>
  <c r="C114" i="2"/>
  <c r="D7" i="13"/>
  <c r="C7" i="13" s="1"/>
  <c r="D12" i="13"/>
  <c r="C12" i="13" s="1"/>
  <c r="G624" i="1"/>
  <c r="J624" i="1" s="1"/>
  <c r="L539" i="1"/>
  <c r="K503" i="1"/>
  <c r="C121" i="2"/>
  <c r="C128" i="2" s="1"/>
  <c r="E111" i="2"/>
  <c r="E115" i="2"/>
  <c r="G81" i="2"/>
  <c r="C18" i="2"/>
  <c r="K552" i="1"/>
  <c r="J651" i="1"/>
  <c r="H257" i="1"/>
  <c r="H271" i="1" s="1"/>
  <c r="I662" i="1"/>
  <c r="L290" i="1"/>
  <c r="C17" i="10"/>
  <c r="E33" i="13"/>
  <c r="D35" i="13" s="1"/>
  <c r="D6" i="13"/>
  <c r="C6" i="13" s="1"/>
  <c r="L211" i="1"/>
  <c r="L257" i="1" s="1"/>
  <c r="L271" i="1" s="1"/>
  <c r="G632" i="1" s="1"/>
  <c r="J632" i="1" s="1"/>
  <c r="C115" i="2"/>
  <c r="I661" i="1"/>
  <c r="D145" i="2"/>
  <c r="G645" i="1"/>
  <c r="J645" i="1" s="1"/>
  <c r="J640" i="1"/>
  <c r="J622" i="1"/>
  <c r="J617" i="1"/>
  <c r="C62" i="2"/>
  <c r="C63" i="2" s="1"/>
  <c r="H33" i="13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C104" i="2"/>
  <c r="J652" i="1"/>
  <c r="J642" i="1"/>
  <c r="G571" i="1"/>
  <c r="I434" i="1"/>
  <c r="G434" i="1"/>
  <c r="I663" i="1"/>
  <c r="C27" i="10"/>
  <c r="G104" i="2" l="1"/>
  <c r="C39" i="10"/>
  <c r="F33" i="13"/>
  <c r="L545" i="1"/>
  <c r="E145" i="2"/>
  <c r="C28" i="10"/>
  <c r="D31" i="13"/>
  <c r="C31" i="13" s="1"/>
  <c r="F660" i="1"/>
  <c r="F664" i="1" s="1"/>
  <c r="F672" i="1" s="1"/>
  <c r="C4" i="10" s="1"/>
  <c r="C145" i="2"/>
  <c r="G667" i="1"/>
  <c r="H646" i="1"/>
  <c r="J646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I660" i="1"/>
  <c r="I664" i="1" s="1"/>
  <c r="I672" i="1" s="1"/>
  <c r="C7" i="10" s="1"/>
  <c r="F667" i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<sst xmlns="http://schemas.openxmlformats.org/spreadsheetml/2006/main" count="3954" uniqueCount="912">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</sst>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29</v>
      </c>
      <c r="C2" s="21">
        <v>29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192453.41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89283.67</v>
      </c>
      <c r="G12" s="18">
        <v>73490.37</v>
      </c>
      <c r="H12" s="18"/>
      <c r="I12" s="18"/>
      <c r="J12" s="67">
        <f>SUM(I441)</f>
        <v>235489.96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27938.3</v>
      </c>
      <c r="G13" s="18">
        <v>4035.8</v>
      </c>
      <c r="H13" s="18">
        <v>62151.3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309675.38</v>
      </c>
      <c r="G19" s="41">
        <f>SUM(G9:G18)</f>
        <v>77526.17</v>
      </c>
      <c r="H19" s="41">
        <f>SUM(H9:H18)</f>
        <v>62151.3</v>
      </c>
      <c r="I19" s="41">
        <f>SUM(I9:I18)</f>
        <v>0</v>
      </c>
      <c r="J19" s="41">
        <f>SUM(J9:J18)</f>
        <v>235489.96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73490.37</v>
      </c>
      <c r="G22" s="18"/>
      <c r="H22" s="18">
        <v>61484.24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139237.12</v>
      </c>
      <c r="G24" s="18">
        <v>201.31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31827.85</v>
      </c>
      <c r="G28" s="18">
        <v>1764.76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5574</v>
      </c>
      <c r="H30" s="18">
        <v>667.06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244555.34</v>
      </c>
      <c r="G32" s="41">
        <f>SUM(G22:G31)</f>
        <v>7540.07</v>
      </c>
      <c r="H32" s="41">
        <f>SUM(H22:H31)</f>
        <v>62151.299999999996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69986.100000000006</v>
      </c>
      <c r="H48" s="18"/>
      <c r="I48" s="18"/>
      <c r="J48" s="13">
        <f>SUM(I459)</f>
        <v>235489.96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10000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55120.04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65120.04</v>
      </c>
      <c r="G51" s="41">
        <f>SUM(G35:G50)</f>
        <v>69986.100000000006</v>
      </c>
      <c r="H51" s="41">
        <f>SUM(H35:H50)</f>
        <v>0</v>
      </c>
      <c r="I51" s="41">
        <f>SUM(I35:I50)</f>
        <v>0</v>
      </c>
      <c r="J51" s="41">
        <f>SUM(J35:J50)</f>
        <v>235489.96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309675.38</v>
      </c>
      <c r="G52" s="41">
        <f>G51+G32</f>
        <v>77526.170000000013</v>
      </c>
      <c r="H52" s="41">
        <f>H51+H32</f>
        <v>62151.299999999996</v>
      </c>
      <c r="I52" s="41">
        <f>I51+I32</f>
        <v>0</v>
      </c>
      <c r="J52" s="41">
        <f>J51+J32</f>
        <v>235489.96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7116666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7116666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162.4</v>
      </c>
      <c r="G96" s="18"/>
      <c r="H96" s="18"/>
      <c r="I96" s="18"/>
      <c r="J96" s="18">
        <f>123.34+289.19+341.51</f>
        <v>754.04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140535.28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2445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2302.4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43372.14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3918.28</v>
      </c>
      <c r="G109" s="18">
        <v>700.74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281.77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50179.59</v>
      </c>
      <c r="G111" s="41">
        <f>SUM(G96:G110)</f>
        <v>141236.01999999999</v>
      </c>
      <c r="H111" s="41">
        <f>SUM(H96:H110)</f>
        <v>2302.4</v>
      </c>
      <c r="I111" s="41">
        <f>SUM(I96:I110)</f>
        <v>0</v>
      </c>
      <c r="J111" s="41">
        <f>SUM(J96:J110)</f>
        <v>754.04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7166845.5899999999</v>
      </c>
      <c r="G112" s="41">
        <f>G60+G111</f>
        <v>141236.01999999999</v>
      </c>
      <c r="H112" s="41">
        <f>H60+H79+H94+H111</f>
        <v>2302.4</v>
      </c>
      <c r="I112" s="41">
        <f>I60+I111</f>
        <v>0</v>
      </c>
      <c r="J112" s="41">
        <f>J60+J111</f>
        <v>754.04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1984930.02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1575635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3560565.02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23351.18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3121.11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23351.18</v>
      </c>
      <c r="G136" s="41">
        <f>SUM(G123:G135)</f>
        <v>3121.11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3583916.2</v>
      </c>
      <c r="G140" s="41">
        <f>G121+SUM(G136:G137)</f>
        <v>3121.11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1206.86+54063.3</f>
        <v>55270.16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4429.26+15557.98+4077.79+16358.73+3740.1</f>
        <v>44163.859999999993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54417.3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3547.38+463.27+184213.57+3176.1</f>
        <v>191400.32000000001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128796.57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128796.57</v>
      </c>
      <c r="G162" s="41">
        <f>SUM(G150:G161)</f>
        <v>54417.3</v>
      </c>
      <c r="H162" s="41">
        <f>SUM(H150:H161)</f>
        <v>290834.33999999997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693.18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128796.57</v>
      </c>
      <c r="G169" s="41">
        <f>G147+G162+SUM(G163:G168)</f>
        <v>54417.3</v>
      </c>
      <c r="H169" s="41">
        <f>H147+H162+SUM(H163:H168)</f>
        <v>291527.51999999996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229356.86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229356.86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229356.86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11108915.219999999</v>
      </c>
      <c r="G193" s="47">
        <f>G112+G140+G169+G192</f>
        <v>198774.43</v>
      </c>
      <c r="H193" s="47">
        <f>H112+H140+H169+H192</f>
        <v>293829.92</v>
      </c>
      <c r="I193" s="47">
        <f>I112+I140+I169+I192</f>
        <v>0</v>
      </c>
      <c r="J193" s="47">
        <f>J112+J140+J192</f>
        <v>25754.04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2116455.62</v>
      </c>
      <c r="G197" s="18">
        <v>962072.44</v>
      </c>
      <c r="H197" s="18">
        <v>36888.5</v>
      </c>
      <c r="I197" s="18">
        <v>58764.91</v>
      </c>
      <c r="J197" s="18">
        <v>10187.120000000001</v>
      </c>
      <c r="K197" s="18"/>
      <c r="L197" s="19">
        <f>SUM(F197:K197)</f>
        <v>3184368.5900000003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517254.91+17079.63+10759.58+68452</f>
        <v>613546.11999999988</v>
      </c>
      <c r="G198" s="18">
        <f>218630.01+2832.88+916.39+23719.64</f>
        <v>246098.92000000004</v>
      </c>
      <c r="H198" s="18">
        <f>187336.63-80450.59+330+200+237513.2+2916.35+2835+8188.03</f>
        <v>358868.62</v>
      </c>
      <c r="I198" s="18">
        <f>1129.98</f>
        <v>1129.98</v>
      </c>
      <c r="J198" s="18">
        <f>1854.17</f>
        <v>1854.17</v>
      </c>
      <c r="K198" s="18">
        <f>502</f>
        <v>502</v>
      </c>
      <c r="L198" s="19">
        <f>SUM(F198:K198)</f>
        <v>1221999.8099999998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11586+13400+5900</f>
        <v>30886</v>
      </c>
      <c r="G200" s="18">
        <f>2368.49+2021.04+876.15</f>
        <v>5265.6799999999994</v>
      </c>
      <c r="H200" s="18">
        <f>5758.25</f>
        <v>5758.25</v>
      </c>
      <c r="I200" s="18">
        <f>575+4469.92</f>
        <v>5044.92</v>
      </c>
      <c r="J200" s="18"/>
      <c r="K200" s="18">
        <v>470</v>
      </c>
      <c r="L200" s="19">
        <f>SUM(F200:K200)</f>
        <v>47424.85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98712.5+70969.32+33782+113800+49762.13</f>
        <v>367025.95</v>
      </c>
      <c r="G202" s="18">
        <f>42256.78+38400.81+5997.33+45806.58+18898.51</f>
        <v>151360.01</v>
      </c>
      <c r="H202" s="18">
        <f>4590+32443.75+31672+33239.65</f>
        <v>101945.4</v>
      </c>
      <c r="I202" s="18">
        <f>7437.55+2780.55+1621.69+756.64+834.34+1448.66</f>
        <v>14879.43</v>
      </c>
      <c r="J202" s="18"/>
      <c r="K202" s="18">
        <v>2037.6</v>
      </c>
      <c r="L202" s="19">
        <f t="shared" ref="L202:L208" si="0">SUM(F202:K202)</f>
        <v>637248.39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1200+52087.08</f>
        <v>53287.08</v>
      </c>
      <c r="G203" s="18">
        <f>2408.39+30289.8</f>
        <v>32698.19</v>
      </c>
      <c r="H203" s="18">
        <f>500+999</f>
        <v>1499</v>
      </c>
      <c r="I203" s="18">
        <f>7436</f>
        <v>7436</v>
      </c>
      <c r="J203" s="18">
        <v>362.93</v>
      </c>
      <c r="K203" s="18"/>
      <c r="L203" s="19">
        <f t="shared" si="0"/>
        <v>95283.199999999997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10350</v>
      </c>
      <c r="G204" s="18">
        <v>988.34</v>
      </c>
      <c r="H204" s="18">
        <f>13701.75+220341</f>
        <v>234042.75</v>
      </c>
      <c r="I204" s="18">
        <v>2040.58</v>
      </c>
      <c r="J204" s="18"/>
      <c r="K204" s="18">
        <v>3939.16</v>
      </c>
      <c r="L204" s="19">
        <f t="shared" si="0"/>
        <v>251360.83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225327.6</v>
      </c>
      <c r="G205" s="18">
        <v>98549.13</v>
      </c>
      <c r="H205" s="18">
        <f>38422.84+13729.91</f>
        <v>52152.75</v>
      </c>
      <c r="I205" s="18">
        <v>997.18</v>
      </c>
      <c r="J205" s="18">
        <v>8182.5</v>
      </c>
      <c r="K205" s="18">
        <v>523</v>
      </c>
      <c r="L205" s="19">
        <f t="shared" si="0"/>
        <v>385732.16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186816.74</v>
      </c>
      <c r="G207" s="18">
        <v>97773.98</v>
      </c>
      <c r="H207" s="18">
        <f>187+78258.54+21240.37</f>
        <v>99685.909999999989</v>
      </c>
      <c r="I207" s="18">
        <v>170767.42</v>
      </c>
      <c r="J207" s="18">
        <v>33833</v>
      </c>
      <c r="K207" s="18"/>
      <c r="L207" s="19">
        <f t="shared" si="0"/>
        <v>588877.04999999993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288048.39+141393.4+6277.39+8595.33</f>
        <v>444314.51000000007</v>
      </c>
      <c r="I208" s="18"/>
      <c r="J208" s="18"/>
      <c r="K208" s="18"/>
      <c r="L208" s="19">
        <f t="shared" si="0"/>
        <v>444314.51000000007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75756.820000000007</v>
      </c>
      <c r="G209" s="18">
        <v>14476.37</v>
      </c>
      <c r="H209" s="18">
        <f>8428.47</f>
        <v>8428.4699999999993</v>
      </c>
      <c r="I209" s="18">
        <v>9503.51</v>
      </c>
      <c r="J209" s="18">
        <v>17928.13</v>
      </c>
      <c r="K209" s="18">
        <v>220</v>
      </c>
      <c r="L209" s="19">
        <f>SUM(F209:K209)</f>
        <v>126313.3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3679451.93</v>
      </c>
      <c r="G211" s="41">
        <f t="shared" si="1"/>
        <v>1609283.06</v>
      </c>
      <c r="H211" s="41">
        <f t="shared" si="1"/>
        <v>1343584.1600000001</v>
      </c>
      <c r="I211" s="41">
        <f t="shared" si="1"/>
        <v>270563.93</v>
      </c>
      <c r="J211" s="41">
        <f t="shared" si="1"/>
        <v>72347.850000000006</v>
      </c>
      <c r="K211" s="41">
        <f t="shared" si="1"/>
        <v>7691.76</v>
      </c>
      <c r="L211" s="41">
        <f t="shared" si="1"/>
        <v>6982922.6899999995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f>54601.87+465</f>
        <v>55066.87</v>
      </c>
      <c r="I216" s="18"/>
      <c r="J216" s="18"/>
      <c r="K216" s="18"/>
      <c r="L216" s="19">
        <f>SUM(F216:K216)</f>
        <v>55066.87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55066.87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55066.87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2904117.62</v>
      </c>
      <c r="I233" s="18"/>
      <c r="J233" s="18"/>
      <c r="K233" s="18"/>
      <c r="L233" s="19">
        <f>SUM(F233:K233)</f>
        <v>2904117.62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80450.59+260656.53+654983.91+128545.15</f>
        <v>1124636.18</v>
      </c>
      <c r="I234" s="18"/>
      <c r="J234" s="18"/>
      <c r="K234" s="18"/>
      <c r="L234" s="19">
        <f>SUM(F234:K234)</f>
        <v>1124636.18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29179.14</v>
      </c>
      <c r="I238" s="18"/>
      <c r="J238" s="18"/>
      <c r="K238" s="18"/>
      <c r="L238" s="19">
        <f t="shared" ref="L238:L244" si="4">SUM(F238:K238)</f>
        <v>29179.14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147806.65+84468.79</f>
        <v>232275.44</v>
      </c>
      <c r="I244" s="18"/>
      <c r="J244" s="18"/>
      <c r="K244" s="18"/>
      <c r="L244" s="19">
        <f t="shared" si="4"/>
        <v>232275.44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4290208.38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4290208.38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3679451.93</v>
      </c>
      <c r="G257" s="41">
        <f t="shared" si="8"/>
        <v>1609283.06</v>
      </c>
      <c r="H257" s="41">
        <f t="shared" si="8"/>
        <v>5688859.4100000001</v>
      </c>
      <c r="I257" s="41">
        <f t="shared" si="8"/>
        <v>270563.93</v>
      </c>
      <c r="J257" s="41">
        <f t="shared" si="8"/>
        <v>72347.850000000006</v>
      </c>
      <c r="K257" s="41">
        <f t="shared" si="8"/>
        <v>7691.76</v>
      </c>
      <c r="L257" s="41">
        <f t="shared" si="8"/>
        <v>11328197.939999999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25000</v>
      </c>
      <c r="L270" s="41">
        <f t="shared" si="9"/>
        <v>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3679451.93</v>
      </c>
      <c r="G271" s="42">
        <f t="shared" si="11"/>
        <v>1609283.06</v>
      </c>
      <c r="H271" s="42">
        <f t="shared" si="11"/>
        <v>5688859.4100000001</v>
      </c>
      <c r="I271" s="42">
        <f t="shared" si="11"/>
        <v>270563.93</v>
      </c>
      <c r="J271" s="42">
        <f t="shared" si="11"/>
        <v>72347.850000000006</v>
      </c>
      <c r="K271" s="42">
        <f t="shared" si="11"/>
        <v>32691.760000000002</v>
      </c>
      <c r="L271" s="42">
        <f t="shared" si="11"/>
        <v>11353197.939999999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42930.239999999998</v>
      </c>
      <c r="G276" s="18">
        <v>9363.0400000000009</v>
      </c>
      <c r="H276" s="18"/>
      <c r="I276" s="18">
        <v>1492.4</v>
      </c>
      <c r="J276" s="18">
        <v>693.18</v>
      </c>
      <c r="K276" s="18"/>
      <c r="L276" s="19">
        <f>SUM(F276:K276)</f>
        <v>54478.86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76422.48</v>
      </c>
      <c r="G277" s="18">
        <v>11475.02</v>
      </c>
      <c r="H277" s="18">
        <v>45864</v>
      </c>
      <c r="I277" s="18"/>
      <c r="J277" s="18"/>
      <c r="K277" s="18"/>
      <c r="L277" s="19">
        <f>SUM(F277:K277)</f>
        <v>133761.5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840+17099.03</f>
        <v>17939.03</v>
      </c>
      <c r="G281" s="18">
        <f>139.4+1308.13</f>
        <v>1447.5300000000002</v>
      </c>
      <c r="H281" s="18">
        <f>24850+315+4446.31</f>
        <v>29611.31</v>
      </c>
      <c r="I281" s="18">
        <f>998.43</f>
        <v>998.43</v>
      </c>
      <c r="J281" s="18"/>
      <c r="K281" s="18"/>
      <c r="L281" s="19">
        <f t="shared" ref="L281:L287" si="12">SUM(F281:K281)</f>
        <v>49996.299999999996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860.24</v>
      </c>
      <c r="G282" s="18">
        <v>187.61</v>
      </c>
      <c r="H282" s="18">
        <f>21193.33+500+1195.62</f>
        <v>22888.95</v>
      </c>
      <c r="I282" s="18">
        <f>2118.03+1210</f>
        <v>3328.03</v>
      </c>
      <c r="J282" s="18"/>
      <c r="K282" s="18"/>
      <c r="L282" s="19">
        <f t="shared" si="12"/>
        <v>27264.829999999998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8341.19</v>
      </c>
      <c r="L285" s="19">
        <f t="shared" si="12"/>
        <v>8341.19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4656</v>
      </c>
      <c r="I288" s="18">
        <v>2174</v>
      </c>
      <c r="J288" s="18">
        <v>13157.24</v>
      </c>
      <c r="K288" s="18"/>
      <c r="L288" s="19">
        <f>SUM(F288:K288)</f>
        <v>19987.239999999998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138151.99</v>
      </c>
      <c r="G290" s="42">
        <f t="shared" si="13"/>
        <v>22473.200000000001</v>
      </c>
      <c r="H290" s="42">
        <f t="shared" si="13"/>
        <v>103020.26</v>
      </c>
      <c r="I290" s="42">
        <f t="shared" si="13"/>
        <v>7992.8600000000006</v>
      </c>
      <c r="J290" s="42">
        <f t="shared" si="13"/>
        <v>13850.42</v>
      </c>
      <c r="K290" s="42">
        <f t="shared" si="13"/>
        <v>8341.19</v>
      </c>
      <c r="L290" s="41">
        <f t="shared" si="13"/>
        <v>293829.92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138151.99</v>
      </c>
      <c r="G338" s="41">
        <f t="shared" si="20"/>
        <v>22473.200000000001</v>
      </c>
      <c r="H338" s="41">
        <f t="shared" si="20"/>
        <v>103020.26</v>
      </c>
      <c r="I338" s="41">
        <f t="shared" si="20"/>
        <v>7992.8600000000006</v>
      </c>
      <c r="J338" s="41">
        <f t="shared" si="20"/>
        <v>13850.42</v>
      </c>
      <c r="K338" s="41">
        <f t="shared" si="20"/>
        <v>8341.19</v>
      </c>
      <c r="L338" s="41">
        <f t="shared" si="20"/>
        <v>293829.92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138151.99</v>
      </c>
      <c r="G352" s="41">
        <f>G338</f>
        <v>22473.200000000001</v>
      </c>
      <c r="H352" s="41">
        <f>H338</f>
        <v>103020.26</v>
      </c>
      <c r="I352" s="41">
        <f>I338</f>
        <v>7992.8600000000006</v>
      </c>
      <c r="J352" s="41">
        <f>J338</f>
        <v>13850.42</v>
      </c>
      <c r="K352" s="47">
        <f>K338+K351</f>
        <v>8341.19</v>
      </c>
      <c r="L352" s="41">
        <f>L338+L351</f>
        <v>293829.92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64450.97</f>
        <v>64450.97</v>
      </c>
      <c r="G358" s="18">
        <f>15968.1+494.16+45.08+4549.29+3173.6+20+279.43+1417.92</f>
        <v>25947.58</v>
      </c>
      <c r="H358" s="18">
        <f>2668.2+346</f>
        <v>3014.2</v>
      </c>
      <c r="I358" s="18">
        <f>6310.56+74465.9+10633.57+1111.21</f>
        <v>92521.24</v>
      </c>
      <c r="J358" s="18">
        <v>610.25</v>
      </c>
      <c r="K358" s="18"/>
      <c r="L358" s="13">
        <f>SUM(F358:K358)</f>
        <v>186544.24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64450.97</v>
      </c>
      <c r="G362" s="47">
        <f t="shared" si="22"/>
        <v>25947.58</v>
      </c>
      <c r="H362" s="47">
        <f t="shared" si="22"/>
        <v>3014.2</v>
      </c>
      <c r="I362" s="47">
        <f t="shared" si="22"/>
        <v>92521.24</v>
      </c>
      <c r="J362" s="47">
        <f t="shared" si="22"/>
        <v>610.25</v>
      </c>
      <c r="K362" s="47">
        <f t="shared" si="22"/>
        <v>0</v>
      </c>
      <c r="L362" s="47">
        <f t="shared" si="22"/>
        <v>186544.24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74465.9+10633.57</f>
        <v>85099.47</v>
      </c>
      <c r="G367" s="18"/>
      <c r="H367" s="18"/>
      <c r="I367" s="56">
        <f>SUM(F367:H367)</f>
        <v>85099.47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6310.56+1111.21</f>
        <v>7421.77</v>
      </c>
      <c r="G368" s="63"/>
      <c r="H368" s="63"/>
      <c r="I368" s="56">
        <f>SUM(F368:H368)</f>
        <v>7421.77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92521.24</v>
      </c>
      <c r="G369" s="47">
        <f>SUM(G367:G368)</f>
        <v>0</v>
      </c>
      <c r="H369" s="47">
        <f>SUM(H367:H368)</f>
        <v>0</v>
      </c>
      <c r="I369" s="47">
        <f>SUM(I367:I368)</f>
        <v>92521.24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25000</v>
      </c>
      <c r="H388" s="18">
        <v>289.19</v>
      </c>
      <c r="I388" s="18"/>
      <c r="J388" s="24" t="s">
        <v>289</v>
      </c>
      <c r="K388" s="24" t="s">
        <v>289</v>
      </c>
      <c r="L388" s="56">
        <f t="shared" si="25"/>
        <v>25289.19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</v>
      </c>
      <c r="H393" s="139">
        <f>SUM(H387:H392)</f>
        <v>289.19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25289.19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123.34</v>
      </c>
      <c r="I397" s="18"/>
      <c r="J397" s="24" t="s">
        <v>289</v>
      </c>
      <c r="K397" s="24" t="s">
        <v>289</v>
      </c>
      <c r="L397" s="56">
        <f t="shared" si="26"/>
        <v>123.34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341.51</v>
      </c>
      <c r="I400" s="18"/>
      <c r="J400" s="24" t="s">
        <v>289</v>
      </c>
      <c r="K400" s="24" t="s">
        <v>289</v>
      </c>
      <c r="L400" s="56">
        <f t="shared" si="26"/>
        <v>341.51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464.85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464.85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754.04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25754.039999999997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50000</v>
      </c>
      <c r="I423" s="18"/>
      <c r="J423" s="18"/>
      <c r="K423" s="18"/>
      <c r="L423" s="56">
        <f t="shared" si="29"/>
        <v>50000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151557.43</v>
      </c>
      <c r="I426" s="18"/>
      <c r="J426" s="18"/>
      <c r="K426" s="18"/>
      <c r="L426" s="56">
        <f t="shared" si="29"/>
        <v>151557.43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201557.43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201557.43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201557.43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201557.43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235489.96</v>
      </c>
      <c r="H441" s="18"/>
      <c r="I441" s="56">
        <f t="shared" si="33"/>
        <v>235489.96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235489.96</v>
      </c>
      <c r="H446" s="13">
        <f>SUM(H439:H445)</f>
        <v>0</v>
      </c>
      <c r="I446" s="13">
        <f>SUM(I439:I445)</f>
        <v>235489.96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235489.96</v>
      </c>
      <c r="H459" s="18"/>
      <c r="I459" s="56">
        <f t="shared" si="34"/>
        <v>235489.96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235489.96</v>
      </c>
      <c r="H460" s="83">
        <f>SUM(H454:H459)</f>
        <v>0</v>
      </c>
      <c r="I460" s="83">
        <f>SUM(I454:I459)</f>
        <v>235489.96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235489.96</v>
      </c>
      <c r="H461" s="42">
        <f>H452+H460</f>
        <v>0</v>
      </c>
      <c r="I461" s="42">
        <f>I452+I460</f>
        <v>235489.96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309402.76</v>
      </c>
      <c r="G465" s="18">
        <v>57755.91</v>
      </c>
      <c r="H465" s="18"/>
      <c r="I465" s="18"/>
      <c r="J465" s="18">
        <v>411293.35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11108915.220000001</v>
      </c>
      <c r="G468" s="18">
        <v>198774.43</v>
      </c>
      <c r="H468" s="18">
        <v>293829.92</v>
      </c>
      <c r="I468" s="18"/>
      <c r="J468" s="18">
        <v>25754.04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11108915.220000001</v>
      </c>
      <c r="G470" s="53">
        <f>SUM(G468:G469)</f>
        <v>198774.43</v>
      </c>
      <c r="H470" s="53">
        <f>SUM(H468:H469)</f>
        <v>293829.92</v>
      </c>
      <c r="I470" s="53">
        <f>SUM(I468:I469)</f>
        <v>0</v>
      </c>
      <c r="J470" s="53">
        <f>SUM(J468:J469)</f>
        <v>25754.04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11353197.939999999</v>
      </c>
      <c r="G472" s="18">
        <v>186544.24</v>
      </c>
      <c r="H472" s="18">
        <v>293829.92</v>
      </c>
      <c r="I472" s="18"/>
      <c r="J472" s="18">
        <v>201557.43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11353197.939999999</v>
      </c>
      <c r="G474" s="53">
        <f>SUM(G472:G473)</f>
        <v>186544.24</v>
      </c>
      <c r="H474" s="53">
        <f>SUM(H472:H473)</f>
        <v>293829.92</v>
      </c>
      <c r="I474" s="53">
        <f>SUM(I472:I473)</f>
        <v>0</v>
      </c>
      <c r="J474" s="53">
        <f>SUM(J472:J473)</f>
        <v>201557.43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65120.040000000969</v>
      </c>
      <c r="G476" s="53">
        <f>(G465+G470)- G474</f>
        <v>69986.100000000006</v>
      </c>
      <c r="H476" s="53">
        <f>(H465+H470)- H474</f>
        <v>0</v>
      </c>
      <c r="I476" s="53">
        <f>(I465+I470)- I474</f>
        <v>0</v>
      </c>
      <c r="J476" s="53">
        <f>(J465+J470)- J474</f>
        <v>235489.95999999996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501588.89</v>
      </c>
      <c r="G521" s="18">
        <f>232937.91-62069.29</f>
        <v>170868.62</v>
      </c>
      <c r="H521" s="18">
        <f>237513.2+8188.03</f>
        <v>245701.23</v>
      </c>
      <c r="I521" s="18">
        <v>2751.67</v>
      </c>
      <c r="J521" s="18">
        <v>1854.17</v>
      </c>
      <c r="K521" s="18"/>
      <c r="L521" s="88">
        <f>SUM(F521:K521)</f>
        <v>922764.58000000007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f>54601.87+465</f>
        <v>55066.87</v>
      </c>
      <c r="I522" s="18"/>
      <c r="J522" s="18"/>
      <c r="K522" s="18"/>
      <c r="L522" s="88">
        <f>SUM(F522:K522)</f>
        <v>55066.87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128545.15+654983.91+260656.53</f>
        <v>1044185.5900000001</v>
      </c>
      <c r="I523" s="18"/>
      <c r="J523" s="18"/>
      <c r="K523" s="18"/>
      <c r="L523" s="88">
        <f>SUM(F523:K523)</f>
        <v>1044185.5900000001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501588.89</v>
      </c>
      <c r="G524" s="108">
        <f t="shared" ref="G524:L524" si="36">SUM(G521:G523)</f>
        <v>170868.62</v>
      </c>
      <c r="H524" s="108">
        <f t="shared" si="36"/>
        <v>1344953.6900000002</v>
      </c>
      <c r="I524" s="108">
        <f t="shared" si="36"/>
        <v>2751.67</v>
      </c>
      <c r="J524" s="108">
        <f t="shared" si="36"/>
        <v>1854.17</v>
      </c>
      <c r="K524" s="108">
        <f t="shared" si="36"/>
        <v>0</v>
      </c>
      <c r="L524" s="89">
        <f t="shared" si="36"/>
        <v>2022017.04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214443.16</v>
      </c>
      <c r="G526" s="18">
        <v>72010.55</v>
      </c>
      <c r="H526" s="18">
        <f>330558.59-80450.59</f>
        <v>250108.00000000003</v>
      </c>
      <c r="I526" s="18">
        <v>2589.41</v>
      </c>
      <c r="J526" s="18"/>
      <c r="K526" s="18"/>
      <c r="L526" s="88">
        <f>SUM(F526:K526)</f>
        <v>539151.12000000011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80450.59</v>
      </c>
      <c r="I528" s="18"/>
      <c r="J528" s="18"/>
      <c r="K528" s="18"/>
      <c r="L528" s="88">
        <f>SUM(F528:K528)</f>
        <v>80450.59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214443.16</v>
      </c>
      <c r="G529" s="89">
        <f t="shared" ref="G529:L529" si="37">SUM(G526:G528)</f>
        <v>72010.55</v>
      </c>
      <c r="H529" s="89">
        <f t="shared" si="37"/>
        <v>330558.59000000003</v>
      </c>
      <c r="I529" s="89">
        <f t="shared" si="37"/>
        <v>2589.41</v>
      </c>
      <c r="J529" s="89">
        <f t="shared" si="37"/>
        <v>0</v>
      </c>
      <c r="K529" s="89">
        <f t="shared" si="37"/>
        <v>0</v>
      </c>
      <c r="L529" s="89">
        <f t="shared" si="37"/>
        <v>619601.71000000008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110008.13</v>
      </c>
      <c r="G531" s="18">
        <v>62069.29</v>
      </c>
      <c r="H531" s="18">
        <v>3446.35</v>
      </c>
      <c r="I531" s="18"/>
      <c r="J531" s="18"/>
      <c r="K531" s="18">
        <v>502</v>
      </c>
      <c r="L531" s="88">
        <f>SUM(F531:K531)</f>
        <v>176025.77000000002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110008.13</v>
      </c>
      <c r="G534" s="89">
        <f t="shared" ref="G534:L534" si="38">SUM(G531:G533)</f>
        <v>62069.29</v>
      </c>
      <c r="H534" s="89">
        <f t="shared" si="38"/>
        <v>3446.35</v>
      </c>
      <c r="I534" s="89">
        <f t="shared" si="38"/>
        <v>0</v>
      </c>
      <c r="J534" s="89">
        <f t="shared" si="38"/>
        <v>0</v>
      </c>
      <c r="K534" s="89">
        <f t="shared" si="38"/>
        <v>502</v>
      </c>
      <c r="L534" s="89">
        <f t="shared" si="38"/>
        <v>176025.77000000002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141393.4</v>
      </c>
      <c r="I541" s="18"/>
      <c r="J541" s="18"/>
      <c r="K541" s="18"/>
      <c r="L541" s="88">
        <f>SUM(F541:K541)</f>
        <v>141393.4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84468.79</v>
      </c>
      <c r="I543" s="18"/>
      <c r="J543" s="18"/>
      <c r="K543" s="18"/>
      <c r="L543" s="88">
        <f>SUM(F543:K543)</f>
        <v>84468.79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225862.19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225862.19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826040.18</v>
      </c>
      <c r="G545" s="89">
        <f t="shared" ref="G545:L545" si="41">G524+G529+G534+G539+G544</f>
        <v>304948.45999999996</v>
      </c>
      <c r="H545" s="89">
        <f t="shared" si="41"/>
        <v>1904820.8200000003</v>
      </c>
      <c r="I545" s="89">
        <f t="shared" si="41"/>
        <v>5341.08</v>
      </c>
      <c r="J545" s="89">
        <f t="shared" si="41"/>
        <v>1854.17</v>
      </c>
      <c r="K545" s="89">
        <f t="shared" si="41"/>
        <v>502</v>
      </c>
      <c r="L545" s="89">
        <f t="shared" si="41"/>
        <v>3043506.71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922764.58000000007</v>
      </c>
      <c r="G549" s="87">
        <f>L526</f>
        <v>539151.12000000011</v>
      </c>
      <c r="H549" s="87">
        <f>L531</f>
        <v>176025.77000000002</v>
      </c>
      <c r="I549" s="87">
        <f>L536</f>
        <v>0</v>
      </c>
      <c r="J549" s="87">
        <f>L541</f>
        <v>141393.4</v>
      </c>
      <c r="K549" s="87">
        <f>SUM(F549:J549)</f>
        <v>1779334.87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55066.87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55066.87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1044185.5900000001</v>
      </c>
      <c r="G551" s="87">
        <f>L528</f>
        <v>80450.59</v>
      </c>
      <c r="H551" s="87">
        <f>L533</f>
        <v>0</v>
      </c>
      <c r="I551" s="87">
        <f>L538</f>
        <v>0</v>
      </c>
      <c r="J551" s="87">
        <f>L543</f>
        <v>84468.79</v>
      </c>
      <c r="K551" s="87">
        <f>SUM(F551:J551)</f>
        <v>1209104.9700000002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2022017.04</v>
      </c>
      <c r="G552" s="89">
        <f t="shared" si="42"/>
        <v>619601.71000000008</v>
      </c>
      <c r="H552" s="89">
        <f t="shared" si="42"/>
        <v>176025.77000000002</v>
      </c>
      <c r="I552" s="89">
        <f t="shared" si="42"/>
        <v>0</v>
      </c>
      <c r="J552" s="89">
        <f t="shared" si="42"/>
        <v>225862.19</v>
      </c>
      <c r="K552" s="89">
        <f t="shared" si="42"/>
        <v>3043506.7100000004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10759.58</v>
      </c>
      <c r="G562" s="18">
        <v>916.39</v>
      </c>
      <c r="H562" s="18"/>
      <c r="I562" s="18"/>
      <c r="J562" s="18"/>
      <c r="K562" s="18"/>
      <c r="L562" s="88">
        <f>SUM(F562:K562)</f>
        <v>11675.97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10759.58</v>
      </c>
      <c r="G565" s="89">
        <f t="shared" si="44"/>
        <v>916.39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11675.97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68452</v>
      </c>
      <c r="G567" s="18">
        <v>23719.64</v>
      </c>
      <c r="H567" s="18"/>
      <c r="I567" s="18"/>
      <c r="J567" s="18"/>
      <c r="K567" s="18"/>
      <c r="L567" s="88">
        <f>SUM(F567:K567)</f>
        <v>92171.64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68452</v>
      </c>
      <c r="G570" s="193">
        <f t="shared" ref="G570:L570" si="45">SUM(G567:G569)</f>
        <v>23719.64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92171.64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79211.58</v>
      </c>
      <c r="G571" s="89">
        <f t="shared" ref="G571:L571" si="46">G560+G565+G570</f>
        <v>24636.03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103847.61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703666.94</v>
      </c>
      <c r="I575" s="87">
        <f>SUM(F575:H575)</f>
        <v>703666.94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2200450.6800000002</v>
      </c>
      <c r="I577" s="87">
        <f t="shared" si="47"/>
        <v>2200450.6800000002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260656.53</v>
      </c>
      <c r="I579" s="87">
        <f t="shared" si="47"/>
        <v>260656.53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654983.91</v>
      </c>
      <c r="I581" s="87">
        <f t="shared" si="47"/>
        <v>654983.91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237513.2</v>
      </c>
      <c r="G582" s="18">
        <v>54601.87</v>
      </c>
      <c r="H582" s="18">
        <v>128545.15</v>
      </c>
      <c r="I582" s="87">
        <f t="shared" si="47"/>
        <v>420660.22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288048.39</v>
      </c>
      <c r="I591" s="18"/>
      <c r="J591" s="18">
        <v>147806.65</v>
      </c>
      <c r="K591" s="104">
        <f t="shared" ref="K591:K597" si="48">SUM(H591:J591)</f>
        <v>435855.04000000004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141393.4</v>
      </c>
      <c r="I592" s="18"/>
      <c r="J592" s="18">
        <v>84468.79</v>
      </c>
      <c r="K592" s="104">
        <f t="shared" si="48"/>
        <v>225862.19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8595.33</v>
      </c>
      <c r="I594" s="18"/>
      <c r="J594" s="18"/>
      <c r="K594" s="104">
        <f t="shared" si="48"/>
        <v>8595.33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6277.39</v>
      </c>
      <c r="I595" s="18"/>
      <c r="J595" s="18"/>
      <c r="K595" s="104">
        <f t="shared" si="48"/>
        <v>6277.39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444314.51000000007</v>
      </c>
      <c r="I598" s="108">
        <f>SUM(I591:I597)</f>
        <v>0</v>
      </c>
      <c r="J598" s="108">
        <f>SUM(J591:J597)</f>
        <v>232275.44</v>
      </c>
      <c r="K598" s="108">
        <f>SUM(K591:K597)</f>
        <v>676589.95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86198.27</v>
      </c>
      <c r="I604" s="18"/>
      <c r="J604" s="18"/>
      <c r="K604" s="104">
        <f>SUM(H604:J604)</f>
        <v>86198.27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86198.27</v>
      </c>
      <c r="I605" s="108">
        <f>SUM(I602:I604)</f>
        <v>0</v>
      </c>
      <c r="J605" s="108">
        <f>SUM(J602:J604)</f>
        <v>0</v>
      </c>
      <c r="K605" s="108">
        <f>SUM(K602:K604)</f>
        <v>86198.27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17079.63</v>
      </c>
      <c r="G611" s="18">
        <v>2832.88</v>
      </c>
      <c r="H611" s="18">
        <v>8188.03</v>
      </c>
      <c r="I611" s="18"/>
      <c r="J611" s="18"/>
      <c r="K611" s="18"/>
      <c r="L611" s="88">
        <f>SUM(F611:K611)</f>
        <v>28100.54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465</v>
      </c>
      <c r="I612" s="18"/>
      <c r="J612" s="18"/>
      <c r="K612" s="18"/>
      <c r="L612" s="88">
        <f>SUM(F612:K612)</f>
        <v>465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17079.63</v>
      </c>
      <c r="G614" s="108">
        <f t="shared" si="49"/>
        <v>2832.88</v>
      </c>
      <c r="H614" s="108">
        <f t="shared" si="49"/>
        <v>8653.0299999999988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28565.54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309675.38</v>
      </c>
      <c r="H617" s="109">
        <f>SUM(F52)</f>
        <v>309675.38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77526.17</v>
      </c>
      <c r="H618" s="109">
        <f>SUM(G52)</f>
        <v>77526.170000000013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62151.3</v>
      </c>
      <c r="H619" s="109">
        <f>SUM(H52)</f>
        <v>62151.299999999996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235489.96</v>
      </c>
      <c r="H621" s="109">
        <f>SUM(J52)</f>
        <v>235489.96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65120.04</v>
      </c>
      <c r="H622" s="109">
        <f>F476</f>
        <v>65120.040000000969</v>
      </c>
      <c r="I622" s="121" t="s">
        <v>101</v>
      </c>
      <c r="J622" s="109">
        <f t="shared" ref="J622:J655" si="50">G622-H622</f>
        <v>-9.6770236268639565E-10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69986.100000000006</v>
      </c>
      <c r="H623" s="109">
        <f>G476</f>
        <v>69986.100000000006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235489.96</v>
      </c>
      <c r="H626" s="109">
        <f>J476</f>
        <v>235489.95999999996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11108915.219999999</v>
      </c>
      <c r="H627" s="104">
        <f>SUM(F468)</f>
        <v>11108915.220000001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198774.43</v>
      </c>
      <c r="H628" s="104">
        <f>SUM(G468)</f>
        <v>198774.43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293829.92</v>
      </c>
      <c r="H629" s="104">
        <f>SUM(H468)</f>
        <v>293829.92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25754.04</v>
      </c>
      <c r="H631" s="104">
        <f>SUM(J468)</f>
        <v>25754.04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11353197.939999999</v>
      </c>
      <c r="H632" s="104">
        <f>SUM(F472)</f>
        <v>11353197.939999999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293829.92</v>
      </c>
      <c r="H633" s="104">
        <f>SUM(H472)</f>
        <v>293829.92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92521.24</v>
      </c>
      <c r="H634" s="104">
        <f>I369</f>
        <v>92521.24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186544.24</v>
      </c>
      <c r="H635" s="104">
        <f>SUM(G472)</f>
        <v>186544.24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25754.039999999997</v>
      </c>
      <c r="H637" s="164">
        <f>SUM(J468)</f>
        <v>25754.04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201557.43</v>
      </c>
      <c r="H638" s="164">
        <f>SUM(J472)</f>
        <v>201557.43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235489.96</v>
      </c>
      <c r="H640" s="104">
        <f>SUM(G461)</f>
        <v>235489.96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235489.96</v>
      </c>
      <c r="H642" s="104">
        <f>SUM(I461)</f>
        <v>235489.96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754.04</v>
      </c>
      <c r="H644" s="104">
        <f>H408</f>
        <v>754.04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25754.04</v>
      </c>
      <c r="H646" s="104">
        <f>L408</f>
        <v>25754.039999999997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676589.95</v>
      </c>
      <c r="H647" s="104">
        <f>L208+L226+L244</f>
        <v>676589.95000000007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86198.27</v>
      </c>
      <c r="H648" s="104">
        <f>(J257+J338)-(J255+J336)</f>
        <v>86198.27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444314.51000000007</v>
      </c>
      <c r="H649" s="104">
        <f>H598</f>
        <v>444314.51000000007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232275.44</v>
      </c>
      <c r="H651" s="104">
        <f>J598</f>
        <v>232275.44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7463296.8499999996</v>
      </c>
      <c r="G660" s="19">
        <f>(L229+L309+L359)</f>
        <v>55066.87</v>
      </c>
      <c r="H660" s="19">
        <f>(L247+L328+L360)</f>
        <v>4290208.38</v>
      </c>
      <c r="I660" s="19">
        <f>SUM(F660:H660)</f>
        <v>11808572.1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141236.01999999999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141236.01999999999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444314.51000000007</v>
      </c>
      <c r="G662" s="19">
        <f>(L226+L306)-(J226+J306)</f>
        <v>0</v>
      </c>
      <c r="H662" s="19">
        <f>(L244+L325)-(J244+J325)</f>
        <v>232275.44</v>
      </c>
      <c r="I662" s="19">
        <f>SUM(F662:H662)</f>
        <v>676589.95000000007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351812.01</v>
      </c>
      <c r="G663" s="199">
        <f>SUM(G575:G587)+SUM(I602:I604)+L612</f>
        <v>55066.87</v>
      </c>
      <c r="H663" s="199">
        <f>SUM(H575:H587)+SUM(J602:J604)+L613</f>
        <v>3948303.21</v>
      </c>
      <c r="I663" s="19">
        <f>SUM(F663:H663)</f>
        <v>4355182.09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6525934.3099999996</v>
      </c>
      <c r="G664" s="19">
        <f>G660-SUM(G661:G663)</f>
        <v>0</v>
      </c>
      <c r="H664" s="19">
        <f>H660-SUM(H661:H663)</f>
        <v>109629.72999999998</v>
      </c>
      <c r="I664" s="19">
        <f>I660-SUM(I661:I663)</f>
        <v>6635564.04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547.23</v>
      </c>
      <c r="G665" s="248"/>
      <c r="H665" s="248"/>
      <c r="I665" s="19">
        <f>SUM(F665:H665)</f>
        <v>547.23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11925.4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12125.73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-109629.73</v>
      </c>
      <c r="I669" s="19">
        <f>SUM(F669:H669)</f>
        <v>-109629.73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11925.4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11925.4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Auburn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2159385.8600000003</v>
      </c>
      <c r="C9" s="229">
        <f>'DOE25'!G197+'DOE25'!G215+'DOE25'!G233+'DOE25'!G276+'DOE25'!G295+'DOE25'!G314</f>
        <v>971435.48</v>
      </c>
    </row>
    <row r="10" spans="1:3" x14ac:dyDescent="0.2">
      <c r="A10" t="s">
        <v>779</v>
      </c>
      <c r="B10" s="240">
        <v>2077656.26</v>
      </c>
      <c r="C10" s="240">
        <v>965315.18</v>
      </c>
    </row>
    <row r="11" spans="1:3" x14ac:dyDescent="0.2">
      <c r="A11" t="s">
        <v>780</v>
      </c>
      <c r="B11" s="240">
        <v>34629.19</v>
      </c>
      <c r="C11" s="240">
        <v>2765.26</v>
      </c>
    </row>
    <row r="12" spans="1:3" x14ac:dyDescent="0.2">
      <c r="A12" t="s">
        <v>781</v>
      </c>
      <c r="B12" s="240">
        <v>47100.41</v>
      </c>
      <c r="C12" s="240">
        <v>3355.04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2159385.8600000003</v>
      </c>
      <c r="C13" s="231">
        <f>SUM(C10:C12)</f>
        <v>971435.4800000001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689968.59999999986</v>
      </c>
      <c r="C18" s="229">
        <f>'DOE25'!G198+'DOE25'!G216+'DOE25'!G234+'DOE25'!G277+'DOE25'!G296+'DOE25'!G315</f>
        <v>257573.94000000003</v>
      </c>
    </row>
    <row r="19" spans="1:3" x14ac:dyDescent="0.2">
      <c r="A19" t="s">
        <v>779</v>
      </c>
      <c r="B19" s="240">
        <v>374842.06</v>
      </c>
      <c r="C19" s="240">
        <v>231960.95</v>
      </c>
    </row>
    <row r="20" spans="1:3" x14ac:dyDescent="0.2">
      <c r="A20" t="s">
        <v>780</v>
      </c>
      <c r="B20" s="240">
        <v>205958.41</v>
      </c>
      <c r="C20" s="240">
        <v>18479.68</v>
      </c>
    </row>
    <row r="21" spans="1:3" x14ac:dyDescent="0.2">
      <c r="A21" t="s">
        <v>781</v>
      </c>
      <c r="B21" s="240">
        <v>109168.13</v>
      </c>
      <c r="C21" s="240">
        <v>7133.31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689968.6</v>
      </c>
      <c r="C22" s="231">
        <f>SUM(C19:C21)</f>
        <v>257573.94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30886</v>
      </c>
      <c r="C36" s="235">
        <f>'DOE25'!G200+'DOE25'!G218+'DOE25'!G236+'DOE25'!G279+'DOE25'!G298+'DOE25'!G317</f>
        <v>5265.6799999999994</v>
      </c>
    </row>
    <row r="37" spans="1:3" x14ac:dyDescent="0.2">
      <c r="A37" t="s">
        <v>779</v>
      </c>
      <c r="B37" s="240">
        <v>23736</v>
      </c>
      <c r="C37" s="240">
        <v>4719.88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7150</v>
      </c>
      <c r="C39" s="240">
        <v>545.79999999999995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30886</v>
      </c>
      <c r="C40" s="231">
        <f>SUM(C37:C39)</f>
        <v>5265.68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Auburn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8537613.9199999999</v>
      </c>
      <c r="D5" s="20">
        <f>SUM('DOE25'!L197:L200)+SUM('DOE25'!L215:L218)+SUM('DOE25'!L233:L236)-F5-G5</f>
        <v>8524600.6300000008</v>
      </c>
      <c r="E5" s="243"/>
      <c r="F5" s="255">
        <f>SUM('DOE25'!J197:J200)+SUM('DOE25'!J215:J218)+SUM('DOE25'!J233:J236)</f>
        <v>12041.29</v>
      </c>
      <c r="G5" s="53">
        <f>SUM('DOE25'!K197:K200)+SUM('DOE25'!K215:K218)+SUM('DOE25'!K233:K236)</f>
        <v>972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666427.53</v>
      </c>
      <c r="D6" s="20">
        <f>'DOE25'!L202+'DOE25'!L220+'DOE25'!L238-F6-G6</f>
        <v>664389.93000000005</v>
      </c>
      <c r="E6" s="243"/>
      <c r="F6" s="255">
        <f>'DOE25'!J202+'DOE25'!J220+'DOE25'!J238</f>
        <v>0</v>
      </c>
      <c r="G6" s="53">
        <f>'DOE25'!K202+'DOE25'!K220+'DOE25'!K238</f>
        <v>2037.6</v>
      </c>
      <c r="H6" s="259"/>
    </row>
    <row r="7" spans="1:9" x14ac:dyDescent="0.2">
      <c r="A7" s="32">
        <v>2200</v>
      </c>
      <c r="B7" t="s">
        <v>834</v>
      </c>
      <c r="C7" s="245">
        <f t="shared" si="0"/>
        <v>95283.199999999997</v>
      </c>
      <c r="D7" s="20">
        <f>'DOE25'!L203+'DOE25'!L221+'DOE25'!L239-F7-G7</f>
        <v>94920.27</v>
      </c>
      <c r="E7" s="243"/>
      <c r="F7" s="255">
        <f>'DOE25'!J203+'DOE25'!J221+'DOE25'!J239</f>
        <v>362.93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146655.14999999997</v>
      </c>
      <c r="D8" s="243"/>
      <c r="E8" s="20">
        <f>'DOE25'!L204+'DOE25'!L222+'DOE25'!L240-F8-G8-D9-D11</f>
        <v>142715.98999999996</v>
      </c>
      <c r="F8" s="255">
        <f>'DOE25'!J204+'DOE25'!J222+'DOE25'!J240</f>
        <v>0</v>
      </c>
      <c r="G8" s="53">
        <f>'DOE25'!K204+'DOE25'!K222+'DOE25'!K240</f>
        <v>3939.16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22753.08</v>
      </c>
      <c r="D9" s="244">
        <v>22753.08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8266.75</v>
      </c>
      <c r="D10" s="243"/>
      <c r="E10" s="244">
        <v>8266.75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81952.600000000006</v>
      </c>
      <c r="D11" s="244">
        <v>81952.600000000006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385732.16</v>
      </c>
      <c r="D12" s="20">
        <f>'DOE25'!L205+'DOE25'!L223+'DOE25'!L241-F12-G12</f>
        <v>377026.66</v>
      </c>
      <c r="E12" s="243"/>
      <c r="F12" s="255">
        <f>'DOE25'!J205+'DOE25'!J223+'DOE25'!J241</f>
        <v>8182.5</v>
      </c>
      <c r="G12" s="53">
        <f>'DOE25'!K205+'DOE25'!K223+'DOE25'!K241</f>
        <v>523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588877.04999999993</v>
      </c>
      <c r="D14" s="20">
        <f>'DOE25'!L207+'DOE25'!L225+'DOE25'!L243-F14-G14</f>
        <v>555044.04999999993</v>
      </c>
      <c r="E14" s="243"/>
      <c r="F14" s="255">
        <f>'DOE25'!J207+'DOE25'!J225+'DOE25'!J243</f>
        <v>33833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676589.95000000007</v>
      </c>
      <c r="D15" s="20">
        <f>'DOE25'!L208+'DOE25'!L226+'DOE25'!L244-F15-G15</f>
        <v>676589.95000000007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126313.3</v>
      </c>
      <c r="D16" s="243"/>
      <c r="E16" s="20">
        <f>'DOE25'!L209+'DOE25'!L227+'DOE25'!L245-F16-G16</f>
        <v>108165.17</v>
      </c>
      <c r="F16" s="255">
        <f>'DOE25'!J209+'DOE25'!J227+'DOE25'!J245</f>
        <v>17928.13</v>
      </c>
      <c r="G16" s="53">
        <f>'DOE25'!K209+'DOE25'!K227+'DOE25'!K245</f>
        <v>220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101444.76999999999</v>
      </c>
      <c r="D29" s="20">
        <f>'DOE25'!L358+'DOE25'!L359+'DOE25'!L360-'DOE25'!I367-F29-G29</f>
        <v>100834.51999999999</v>
      </c>
      <c r="E29" s="243"/>
      <c r="F29" s="255">
        <f>'DOE25'!J358+'DOE25'!J359+'DOE25'!J360</f>
        <v>610.25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293829.92</v>
      </c>
      <c r="D31" s="20">
        <f>'DOE25'!L290+'DOE25'!L309+'DOE25'!L328+'DOE25'!L333+'DOE25'!L334+'DOE25'!L335-F31-G31</f>
        <v>271638.31</v>
      </c>
      <c r="E31" s="243"/>
      <c r="F31" s="255">
        <f>'DOE25'!J290+'DOE25'!J309+'DOE25'!J328+'DOE25'!J333+'DOE25'!J334+'DOE25'!J335</f>
        <v>13850.42</v>
      </c>
      <c r="G31" s="53">
        <f>'DOE25'!K290+'DOE25'!K309+'DOE25'!K328+'DOE25'!K333+'DOE25'!K334+'DOE25'!K335</f>
        <v>8341.19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11369750</v>
      </c>
      <c r="E33" s="246">
        <f>SUM(E5:E31)</f>
        <v>259147.90999999997</v>
      </c>
      <c r="F33" s="246">
        <f>SUM(F5:F31)</f>
        <v>86808.52</v>
      </c>
      <c r="G33" s="246">
        <f>SUM(G5:G31)</f>
        <v>16032.95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259147.90999999997</v>
      </c>
      <c r="E35" s="249"/>
    </row>
    <row r="36" spans="2:8" ht="12" thickTop="1" x14ac:dyDescent="0.2">
      <c r="B36" t="s">
        <v>815</v>
      </c>
      <c r="D36" s="20">
        <f>D33</f>
        <v>11369750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192453.41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89283.67</v>
      </c>
      <c r="D11" s="95">
        <f>'DOE25'!G12</f>
        <v>73490.37</v>
      </c>
      <c r="E11" s="95">
        <f>'DOE25'!H12</f>
        <v>0</v>
      </c>
      <c r="F11" s="95">
        <f>'DOE25'!I12</f>
        <v>0</v>
      </c>
      <c r="G11" s="95">
        <f>'DOE25'!J12</f>
        <v>235489.96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27938.3</v>
      </c>
      <c r="D12" s="95">
        <f>'DOE25'!G13</f>
        <v>4035.8</v>
      </c>
      <c r="E12" s="95">
        <f>'DOE25'!H13</f>
        <v>62151.3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309675.38</v>
      </c>
      <c r="D18" s="41">
        <f>SUM(D8:D17)</f>
        <v>77526.17</v>
      </c>
      <c r="E18" s="41">
        <f>SUM(E8:E17)</f>
        <v>62151.3</v>
      </c>
      <c r="F18" s="41">
        <f>SUM(F8:F17)</f>
        <v>0</v>
      </c>
      <c r="G18" s="41">
        <f>SUM(G8:G17)</f>
        <v>235489.96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73490.37</v>
      </c>
      <c r="D21" s="95">
        <f>'DOE25'!G22</f>
        <v>0</v>
      </c>
      <c r="E21" s="95">
        <f>'DOE25'!H22</f>
        <v>61484.24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139237.12</v>
      </c>
      <c r="D23" s="95">
        <f>'DOE25'!G24</f>
        <v>201.31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31827.85</v>
      </c>
      <c r="D27" s="95">
        <f>'DOE25'!G28</f>
        <v>1764.76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5574</v>
      </c>
      <c r="E29" s="95">
        <f>'DOE25'!H30</f>
        <v>667.06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244555.34</v>
      </c>
      <c r="D31" s="41">
        <f>SUM(D21:D30)</f>
        <v>7540.07</v>
      </c>
      <c r="E31" s="41">
        <f>SUM(E21:E30)</f>
        <v>62151.299999999996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69986.100000000006</v>
      </c>
      <c r="E47" s="95">
        <f>'DOE25'!H48</f>
        <v>0</v>
      </c>
      <c r="F47" s="95">
        <f>'DOE25'!I48</f>
        <v>0</v>
      </c>
      <c r="G47" s="95">
        <f>'DOE25'!J48</f>
        <v>235489.96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10000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55120.04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65120.04</v>
      </c>
      <c r="D50" s="41">
        <f>SUM(D34:D49)</f>
        <v>69986.100000000006</v>
      </c>
      <c r="E50" s="41">
        <f>SUM(E34:E49)</f>
        <v>0</v>
      </c>
      <c r="F50" s="41">
        <f>SUM(F34:F49)</f>
        <v>0</v>
      </c>
      <c r="G50" s="41">
        <f>SUM(G34:G49)</f>
        <v>235489.96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309675.38</v>
      </c>
      <c r="D51" s="41">
        <f>D50+D31</f>
        <v>77526.170000000013</v>
      </c>
      <c r="E51" s="41">
        <f>E50+E31</f>
        <v>62151.299999999996</v>
      </c>
      <c r="F51" s="41">
        <f>F50+F31</f>
        <v>0</v>
      </c>
      <c r="G51" s="41">
        <f>G50+G31</f>
        <v>235489.96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7116666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162.4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754.04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140535.28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50017.189999999995</v>
      </c>
      <c r="D61" s="95">
        <f>SUM('DOE25'!G98:G110)</f>
        <v>700.74</v>
      </c>
      <c r="E61" s="95">
        <f>SUM('DOE25'!H98:H110)</f>
        <v>2302.4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50179.59</v>
      </c>
      <c r="D62" s="130">
        <f>SUM(D57:D61)</f>
        <v>141236.01999999999</v>
      </c>
      <c r="E62" s="130">
        <f>SUM(E57:E61)</f>
        <v>2302.4</v>
      </c>
      <c r="F62" s="130">
        <f>SUM(F57:F61)</f>
        <v>0</v>
      </c>
      <c r="G62" s="130">
        <f>SUM(G57:G61)</f>
        <v>754.04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7166845.5899999999</v>
      </c>
      <c r="D63" s="22">
        <f>D56+D62</f>
        <v>141236.01999999999</v>
      </c>
      <c r="E63" s="22">
        <f>E56+E62</f>
        <v>2302.4</v>
      </c>
      <c r="F63" s="22">
        <f>F56+F62</f>
        <v>0</v>
      </c>
      <c r="G63" s="22">
        <f>G56+G62</f>
        <v>754.04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1984930.02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1575635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3560565.02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23351.18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3121.11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23351.18</v>
      </c>
      <c r="D78" s="130">
        <f>SUM(D72:D77)</f>
        <v>3121.11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3583916.2</v>
      </c>
      <c r="D81" s="130">
        <f>SUM(D79:D80)+D78+D70</f>
        <v>3121.11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128796.57</v>
      </c>
      <c r="D88" s="95">
        <f>SUM('DOE25'!G153:G161)</f>
        <v>54417.3</v>
      </c>
      <c r="E88" s="95">
        <f>SUM('DOE25'!H153:H161)</f>
        <v>290834.33999999997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693.18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128796.57</v>
      </c>
      <c r="D91" s="131">
        <f>SUM(D85:D90)</f>
        <v>54417.3</v>
      </c>
      <c r="E91" s="131">
        <f>SUM(E85:E90)</f>
        <v>291527.51999999996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229356.86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229356.86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11108915.219999999</v>
      </c>
      <c r="D104" s="86">
        <f>D63+D81+D91+D103</f>
        <v>198774.43</v>
      </c>
      <c r="E104" s="86">
        <f>E63+E81+E91+E103</f>
        <v>293829.92</v>
      </c>
      <c r="F104" s="86">
        <f>F63+F81+F91+F103</f>
        <v>0</v>
      </c>
      <c r="G104" s="86">
        <f>G63+G81+G103</f>
        <v>25754.04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6088486.2100000009</v>
      </c>
      <c r="D109" s="24" t="s">
        <v>289</v>
      </c>
      <c r="E109" s="95">
        <f>('DOE25'!L276)+('DOE25'!L295)+('DOE25'!L314)</f>
        <v>54478.86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2401702.86</v>
      </c>
      <c r="D110" s="24" t="s">
        <v>289</v>
      </c>
      <c r="E110" s="95">
        <f>('DOE25'!L277)+('DOE25'!L296)+('DOE25'!L315)</f>
        <v>133761.5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47424.85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8537613.9199999999</v>
      </c>
      <c r="D115" s="86">
        <f>SUM(D109:D114)</f>
        <v>0</v>
      </c>
      <c r="E115" s="86">
        <f>SUM(E109:E114)</f>
        <v>188240.36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666427.53</v>
      </c>
      <c r="D118" s="24" t="s">
        <v>289</v>
      </c>
      <c r="E118" s="95">
        <f>+('DOE25'!L281)+('DOE25'!L300)+('DOE25'!L319)</f>
        <v>49996.299999999996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95283.199999999997</v>
      </c>
      <c r="D119" s="24" t="s">
        <v>289</v>
      </c>
      <c r="E119" s="95">
        <f>+('DOE25'!L282)+('DOE25'!L301)+('DOE25'!L320)</f>
        <v>27264.829999999998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251360.83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385732.16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8341.19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588877.04999999993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676589.95000000007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126313.3</v>
      </c>
      <c r="D125" s="24" t="s">
        <v>289</v>
      </c>
      <c r="E125" s="95">
        <f>+('DOE25'!L288)+('DOE25'!L307)+('DOE25'!L326)</f>
        <v>19987.239999999998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186544.24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2790584.02</v>
      </c>
      <c r="D128" s="86">
        <f>SUM(D118:D127)</f>
        <v>186544.24</v>
      </c>
      <c r="E128" s="86">
        <f>SUM(E118:E127)</f>
        <v>105589.56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25289.19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464.85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-754.03999999999724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11353197.939999999</v>
      </c>
      <c r="D145" s="86">
        <f>(D115+D128+D144)</f>
        <v>186544.24</v>
      </c>
      <c r="E145" s="86">
        <f>(E115+E128+E144)</f>
        <v>293829.92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Auburn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11925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11925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6142965</v>
      </c>
      <c r="D10" s="182">
        <f>ROUND((C10/$C$28)*100,1)</f>
        <v>52.7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2535464</v>
      </c>
      <c r="D11" s="182">
        <f>ROUND((C11/$C$28)*100,1)</f>
        <v>21.7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47425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716424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122548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397661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385732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8341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588877</v>
      </c>
      <c r="D20" s="182">
        <f t="shared" si="0"/>
        <v>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676590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45307.98000000001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11667334.98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11667334.98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7116666</v>
      </c>
      <c r="D35" s="182">
        <f t="shared" ref="D35:D40" si="1">ROUND((C35/$C$41)*100,1)</f>
        <v>63.4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53236.030000000261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3560565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26472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474741</v>
      </c>
      <c r="D39" s="182">
        <f t="shared" si="1"/>
        <v>4.2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11231680.030000001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Auburn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2014-09-25T14:11:36Z</cp:lastPrinted>
  <dcterms:created xsi:type="dcterms:W3CDTF">1997-12-04T19:04:30Z</dcterms:created>
  <dcterms:modified xsi:type="dcterms:W3CDTF">2014-09-25T14:12:28Z</dcterms:modified>
</cp:coreProperties>
</file>