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workbookProtection workbookPassword="A70A" lockStructure="1"/>
  <bookViews>
    <workbookView xWindow="300" yWindow="195" windowWidth="27600" windowHeight="15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0" i="1" l="1"/>
  <c r="F181" i="1"/>
  <c r="C10" i="12" l="1"/>
  <c r="C11" i="12"/>
  <c r="C12" i="12"/>
  <c r="B10" i="12"/>
  <c r="B12" i="12"/>
  <c r="B11" i="12"/>
  <c r="C21" i="12"/>
  <c r="C20" i="12"/>
  <c r="C19" i="12"/>
  <c r="B19" i="12"/>
  <c r="B21" i="12"/>
  <c r="B20" i="12"/>
  <c r="B13" i="12"/>
  <c r="G197" i="1"/>
  <c r="F472" i="1"/>
  <c r="F197" i="1"/>
  <c r="F9" i="1"/>
  <c r="H244" i="1"/>
  <c r="H226" i="1"/>
  <c r="F44" i="1"/>
  <c r="G611" i="1"/>
  <c r="H604" i="1"/>
  <c r="I595" i="1"/>
  <c r="H595" i="1"/>
  <c r="I592" i="1"/>
  <c r="H592" i="1"/>
  <c r="J591" i="1"/>
  <c r="I591" i="1"/>
  <c r="H591" i="1"/>
  <c r="H579" i="1"/>
  <c r="H577" i="1"/>
  <c r="H575" i="1"/>
  <c r="I522" i="1"/>
  <c r="I521" i="1"/>
  <c r="H521" i="1"/>
  <c r="G521" i="1"/>
  <c r="F521" i="1"/>
  <c r="G533" i="1"/>
  <c r="G531" i="1"/>
  <c r="G532" i="1"/>
  <c r="F531" i="1"/>
  <c r="F533" i="1"/>
  <c r="F532" i="1"/>
  <c r="H543" i="1"/>
  <c r="H542" i="1"/>
  <c r="H541" i="1"/>
  <c r="H538" i="1"/>
  <c r="H537" i="1"/>
  <c r="H536" i="1"/>
  <c r="H523" i="1"/>
  <c r="J523" i="1"/>
  <c r="J522" i="1"/>
  <c r="H522" i="1"/>
  <c r="J521" i="1"/>
  <c r="G522" i="1"/>
  <c r="K344" i="1"/>
  <c r="J277" i="1"/>
  <c r="I277" i="1"/>
  <c r="H277" i="1"/>
  <c r="G277" i="1"/>
  <c r="F277" i="1"/>
  <c r="I276" i="1"/>
  <c r="H276" i="1"/>
  <c r="F276" i="1"/>
  <c r="J276" i="1"/>
  <c r="G276" i="1"/>
  <c r="K266" i="1"/>
  <c r="J179" i="1"/>
  <c r="H415" i="1"/>
  <c r="J472" i="1"/>
  <c r="J468" i="1"/>
  <c r="H154" i="1"/>
  <c r="H359" i="1"/>
  <c r="H358" i="1"/>
  <c r="I220" i="1"/>
  <c r="I202" i="1"/>
  <c r="G220" i="1"/>
  <c r="G202" i="1"/>
  <c r="H208" i="1"/>
  <c r="H225" i="1"/>
  <c r="H207" i="1"/>
  <c r="F207" i="1"/>
  <c r="F225" i="1"/>
  <c r="G225" i="1"/>
  <c r="G207" i="1"/>
  <c r="F242" i="1"/>
  <c r="F224" i="1"/>
  <c r="F206" i="1"/>
  <c r="K240" i="1"/>
  <c r="J240" i="1"/>
  <c r="I240" i="1"/>
  <c r="H240" i="1"/>
  <c r="G240" i="1"/>
  <c r="F240" i="1"/>
  <c r="K222" i="1"/>
  <c r="J222" i="1"/>
  <c r="I222" i="1"/>
  <c r="H222" i="1"/>
  <c r="G222" i="1"/>
  <c r="F222" i="1"/>
  <c r="K204" i="1"/>
  <c r="J204" i="1"/>
  <c r="I204" i="1"/>
  <c r="H204" i="1"/>
  <c r="G204" i="1"/>
  <c r="F204" i="1"/>
  <c r="G203" i="1"/>
  <c r="G221" i="1"/>
  <c r="F221" i="1"/>
  <c r="F203" i="1"/>
  <c r="I221" i="1"/>
  <c r="H221" i="1"/>
  <c r="H203" i="1"/>
  <c r="K220" i="1"/>
  <c r="K202" i="1"/>
  <c r="H202" i="1"/>
  <c r="H220" i="1"/>
  <c r="J202" i="1"/>
  <c r="J220" i="1"/>
  <c r="F220" i="1"/>
  <c r="F202" i="1"/>
  <c r="J198" i="1"/>
  <c r="J216" i="1"/>
  <c r="J234" i="1"/>
  <c r="H234" i="1"/>
  <c r="H216" i="1"/>
  <c r="H198" i="1"/>
  <c r="G198" i="1"/>
  <c r="G216" i="1"/>
  <c r="F216" i="1"/>
  <c r="F198" i="1"/>
  <c r="G215" i="1"/>
  <c r="F215" i="1"/>
  <c r="I225" i="1"/>
  <c r="K223" i="1"/>
  <c r="J223" i="1"/>
  <c r="I223" i="1"/>
  <c r="H223" i="1"/>
  <c r="G223" i="1"/>
  <c r="F223" i="1"/>
  <c r="J203" i="1"/>
  <c r="J221" i="1"/>
  <c r="I218" i="1"/>
  <c r="H218" i="1"/>
  <c r="G218" i="1"/>
  <c r="F218" i="1"/>
  <c r="I216" i="1"/>
  <c r="K215" i="1"/>
  <c r="J215" i="1"/>
  <c r="I215" i="1"/>
  <c r="H215" i="1"/>
  <c r="H255" i="1"/>
  <c r="I207" i="1"/>
  <c r="K205" i="1"/>
  <c r="J205" i="1"/>
  <c r="I205" i="1"/>
  <c r="H205" i="1"/>
  <c r="G205" i="1"/>
  <c r="F205" i="1"/>
  <c r="K221" i="1"/>
  <c r="K203" i="1"/>
  <c r="I203" i="1"/>
  <c r="I198" i="1"/>
  <c r="J197" i="1"/>
  <c r="I197" i="1"/>
  <c r="H197" i="1"/>
  <c r="H233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/>
  <c r="B4" i="12"/>
  <c r="B36" i="12"/>
  <c r="C36" i="12"/>
  <c r="B40" i="12"/>
  <c r="C40" i="12"/>
  <c r="B27" i="12"/>
  <c r="C27" i="12"/>
  <c r="B31" i="12"/>
  <c r="C31" i="12"/>
  <c r="B9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79" i="1"/>
  <c r="F94" i="1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G140" i="1" s="1"/>
  <c r="H121" i="1"/>
  <c r="H136" i="1"/>
  <c r="I121" i="1"/>
  <c r="I136" i="1"/>
  <c r="J121" i="1"/>
  <c r="J136" i="1"/>
  <c r="F147" i="1"/>
  <c r="F162" i="1"/>
  <c r="G147" i="1"/>
  <c r="G162" i="1"/>
  <c r="G169" i="1" s="1"/>
  <c r="C39" i="10" s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/>
  <c r="L522" i="1"/>
  <c r="F550" i="1"/>
  <c r="L523" i="1"/>
  <c r="F551" i="1"/>
  <c r="L526" i="1"/>
  <c r="G549" i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/>
  <c r="C63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/>
  <c r="F128" i="2"/>
  <c r="G128" i="2"/>
  <c r="C130" i="2"/>
  <c r="E130" i="2"/>
  <c r="F130" i="2"/>
  <c r="F144" i="2" s="1"/>
  <c r="F145" i="2" s="1"/>
  <c r="D134" i="2"/>
  <c r="D144" i="2"/>
  <c r="D145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19" i="1"/>
  <c r="H19" i="1"/>
  <c r="I19" i="1"/>
  <c r="F32" i="1"/>
  <c r="F52" i="1"/>
  <c r="G32" i="1"/>
  <c r="H32" i="1"/>
  <c r="I32" i="1"/>
  <c r="H617" i="1"/>
  <c r="G52" i="1"/>
  <c r="H618" i="1"/>
  <c r="H51" i="1"/>
  <c r="H52" i="1"/>
  <c r="H619" i="1"/>
  <c r="I51" i="1"/>
  <c r="I52" i="1"/>
  <c r="H620" i="1"/>
  <c r="F177" i="1"/>
  <c r="I177" i="1"/>
  <c r="F183" i="1"/>
  <c r="F192" i="1" s="1"/>
  <c r="F193" i="1" s="1"/>
  <c r="G627" i="1" s="1"/>
  <c r="J627" i="1" s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/>
  <c r="K337" i="1"/>
  <c r="K338" i="1"/>
  <c r="K352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/>
  <c r="G650" i="1"/>
  <c r="G651" i="1"/>
  <c r="G652" i="1"/>
  <c r="H652" i="1"/>
  <c r="G653" i="1"/>
  <c r="H653" i="1"/>
  <c r="G654" i="1"/>
  <c r="H654" i="1"/>
  <c r="H655" i="1"/>
  <c r="L256" i="1"/>
  <c r="L257" i="1"/>
  <c r="L271" i="1"/>
  <c r="G632" i="1"/>
  <c r="K257" i="1"/>
  <c r="K271" i="1"/>
  <c r="I257" i="1"/>
  <c r="I271" i="1"/>
  <c r="G257" i="1"/>
  <c r="G271" i="1"/>
  <c r="G164" i="2"/>
  <c r="C18" i="2"/>
  <c r="C26" i="10"/>
  <c r="L328" i="1"/>
  <c r="H660" i="1"/>
  <c r="H664" i="1"/>
  <c r="L351" i="1"/>
  <c r="I662" i="1"/>
  <c r="L290" i="1"/>
  <c r="F660" i="1"/>
  <c r="A31" i="12"/>
  <c r="C70" i="2"/>
  <c r="A40" i="12"/>
  <c r="D12" i="13"/>
  <c r="C12" i="13"/>
  <c r="D62" i="2"/>
  <c r="D63" i="2"/>
  <c r="D18" i="13"/>
  <c r="C18" i="13"/>
  <c r="D15" i="13"/>
  <c r="C15" i="13"/>
  <c r="D7" i="13"/>
  <c r="C7" i="13"/>
  <c r="D18" i="2"/>
  <c r="D17" i="13"/>
  <c r="C17" i="13"/>
  <c r="D6" i="13"/>
  <c r="C6" i="13"/>
  <c r="E8" i="13"/>
  <c r="C8" i="13" s="1"/>
  <c r="C91" i="2"/>
  <c r="F78" i="2"/>
  <c r="F81" i="2"/>
  <c r="D31" i="2"/>
  <c r="C128" i="2"/>
  <c r="C78" i="2"/>
  <c r="C81" i="2"/>
  <c r="D50" i="2"/>
  <c r="G157" i="2"/>
  <c r="F18" i="2"/>
  <c r="G161" i="2"/>
  <c r="G156" i="2"/>
  <c r="E115" i="2"/>
  <c r="E103" i="2"/>
  <c r="D91" i="2"/>
  <c r="E62" i="2"/>
  <c r="E63" i="2"/>
  <c r="E31" i="2"/>
  <c r="G62" i="2"/>
  <c r="D29" i="13"/>
  <c r="C29" i="13"/>
  <c r="D19" i="13"/>
  <c r="C19" i="13"/>
  <c r="D14" i="13"/>
  <c r="C14" i="13"/>
  <c r="E13" i="13"/>
  <c r="C13" i="13"/>
  <c r="J617" i="1"/>
  <c r="E78" i="2"/>
  <c r="E81" i="2"/>
  <c r="L427" i="1"/>
  <c r="J257" i="1"/>
  <c r="J271" i="1"/>
  <c r="H112" i="1"/>
  <c r="F112" i="1"/>
  <c r="C36" i="10" s="1"/>
  <c r="J641" i="1"/>
  <c r="J639" i="1"/>
  <c r="K605" i="1"/>
  <c r="G648" i="1"/>
  <c r="J571" i="1"/>
  <c r="K571" i="1"/>
  <c r="L433" i="1"/>
  <c r="L419" i="1"/>
  <c r="I169" i="1"/>
  <c r="H169" i="1"/>
  <c r="G552" i="1"/>
  <c r="J644" i="1"/>
  <c r="J643" i="1"/>
  <c r="J476" i="1"/>
  <c r="H626" i="1"/>
  <c r="H476" i="1"/>
  <c r="H624" i="1"/>
  <c r="J624" i="1"/>
  <c r="F476" i="1"/>
  <c r="H622" i="1"/>
  <c r="J622" i="1"/>
  <c r="I476" i="1"/>
  <c r="H625" i="1"/>
  <c r="J625" i="1"/>
  <c r="G476" i="1"/>
  <c r="H623" i="1"/>
  <c r="J623" i="1"/>
  <c r="G338" i="1"/>
  <c r="G352" i="1"/>
  <c r="F169" i="1"/>
  <c r="J140" i="1"/>
  <c r="F571" i="1"/>
  <c r="H257" i="1"/>
  <c r="H271" i="1"/>
  <c r="F664" i="1"/>
  <c r="F672" i="1"/>
  <c r="C4" i="10"/>
  <c r="I552" i="1"/>
  <c r="K549" i="1"/>
  <c r="K550" i="1"/>
  <c r="G22" i="2"/>
  <c r="K598" i="1"/>
  <c r="G647" i="1"/>
  <c r="J647" i="1"/>
  <c r="K545" i="1"/>
  <c r="J552" i="1"/>
  <c r="H552" i="1"/>
  <c r="C29" i="10"/>
  <c r="I661" i="1"/>
  <c r="H140" i="1"/>
  <c r="L401" i="1"/>
  <c r="C139" i="2"/>
  <c r="L393" i="1"/>
  <c r="A13" i="12"/>
  <c r="F22" i="13"/>
  <c r="H25" i="13"/>
  <c r="C25" i="13"/>
  <c r="J651" i="1"/>
  <c r="J640" i="1"/>
  <c r="J634" i="1"/>
  <c r="H571" i="1"/>
  <c r="L560" i="1"/>
  <c r="J545" i="1"/>
  <c r="H338" i="1"/>
  <c r="H352" i="1"/>
  <c r="F338" i="1"/>
  <c r="F352" i="1"/>
  <c r="G192" i="1"/>
  <c r="H192" i="1"/>
  <c r="E128" i="2"/>
  <c r="F552" i="1"/>
  <c r="C35" i="10"/>
  <c r="L309" i="1"/>
  <c r="D5" i="13"/>
  <c r="C5" i="13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/>
  <c r="C22" i="13"/>
  <c r="C138" i="2"/>
  <c r="C16" i="13"/>
  <c r="H33" i="13"/>
  <c r="F667" i="1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F31" i="2"/>
  <c r="C31" i="2"/>
  <c r="E18" i="2"/>
  <c r="E144" i="2"/>
  <c r="F50" i="2"/>
  <c r="F51" i="2"/>
  <c r="E145" i="2"/>
  <c r="L338" i="1"/>
  <c r="L352" i="1"/>
  <c r="G633" i="1"/>
  <c r="J633" i="1"/>
  <c r="C24" i="10"/>
  <c r="G660" i="1"/>
  <c r="G664" i="1"/>
  <c r="G31" i="13"/>
  <c r="G33" i="13"/>
  <c r="I338" i="1"/>
  <c r="I352" i="1"/>
  <c r="J650" i="1"/>
  <c r="L407" i="1"/>
  <c r="C140" i="2"/>
  <c r="C141" i="2"/>
  <c r="C144" i="2"/>
  <c r="C145" i="2"/>
  <c r="L571" i="1"/>
  <c r="J632" i="1"/>
  <c r="I192" i="1"/>
  <c r="E91" i="2"/>
  <c r="L408" i="1"/>
  <c r="G637" i="1"/>
  <c r="J637" i="1"/>
  <c r="D51" i="2"/>
  <c r="J654" i="1"/>
  <c r="J653" i="1"/>
  <c r="G21" i="2"/>
  <c r="G31" i="2"/>
  <c r="J32" i="1"/>
  <c r="L434" i="1"/>
  <c r="G638" i="1"/>
  <c r="J638" i="1"/>
  <c r="J434" i="1"/>
  <c r="F434" i="1"/>
  <c r="K434" i="1"/>
  <c r="G134" i="2"/>
  <c r="G144" i="2"/>
  <c r="G145" i="2"/>
  <c r="H667" i="1"/>
  <c r="H672" i="1"/>
  <c r="C6" i="10"/>
  <c r="F31" i="13"/>
  <c r="I660" i="1"/>
  <c r="J193" i="1"/>
  <c r="G646" i="1"/>
  <c r="F104" i="2"/>
  <c r="H193" i="1"/>
  <c r="G629" i="1"/>
  <c r="J629" i="1"/>
  <c r="F140" i="1"/>
  <c r="G63" i="2"/>
  <c r="G104" i="2"/>
  <c r="J618" i="1"/>
  <c r="G667" i="1"/>
  <c r="G672" i="1"/>
  <c r="C5" i="10" s="1"/>
  <c r="G42" i="2"/>
  <c r="J51" i="1"/>
  <c r="G16" i="2"/>
  <c r="J19" i="1"/>
  <c r="G621" i="1"/>
  <c r="F33" i="13"/>
  <c r="D31" i="13"/>
  <c r="C31" i="13"/>
  <c r="G18" i="2"/>
  <c r="F545" i="1"/>
  <c r="H434" i="1"/>
  <c r="J620" i="1"/>
  <c r="J619" i="1"/>
  <c r="D103" i="2"/>
  <c r="I140" i="1"/>
  <c r="I193" i="1"/>
  <c r="G630" i="1"/>
  <c r="J630" i="1"/>
  <c r="A22" i="12"/>
  <c r="H646" i="1"/>
  <c r="G50" i="2"/>
  <c r="G51" i="2"/>
  <c r="H648" i="1"/>
  <c r="J648" i="1"/>
  <c r="C104" i="2"/>
  <c r="J652" i="1"/>
  <c r="J642" i="1"/>
  <c r="G571" i="1"/>
  <c r="I434" i="1"/>
  <c r="G434" i="1"/>
  <c r="E104" i="2"/>
  <c r="I663" i="1"/>
  <c r="C27" i="10"/>
  <c r="C28" i="10"/>
  <c r="G635" i="1"/>
  <c r="J635" i="1"/>
  <c r="C51" i="2"/>
  <c r="G631" i="1"/>
  <c r="J631" i="1"/>
  <c r="I664" i="1"/>
  <c r="I672" i="1"/>
  <c r="D33" i="13"/>
  <c r="D36" i="13"/>
  <c r="J646" i="1"/>
  <c r="G626" i="1"/>
  <c r="J626" i="1"/>
  <c r="J52" i="1"/>
  <c r="H621" i="1"/>
  <c r="J621" i="1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/>
  <c r="D28" i="10"/>
  <c r="E33" i="13" l="1"/>
  <c r="D35" i="13" s="1"/>
  <c r="D104" i="2"/>
  <c r="G193" i="1"/>
  <c r="G628" i="1" s="1"/>
  <c r="C38" i="10"/>
  <c r="C7" i="10"/>
  <c r="C41" i="10" l="1"/>
  <c r="H656" i="1"/>
  <c r="J628" i="1"/>
  <c r="D40" i="10" l="1"/>
  <c r="D37" i="10"/>
  <c r="D39" i="10"/>
  <c r="D36" i="10"/>
  <c r="D35" i="10"/>
  <c r="D38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63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<sst xmlns="http://schemas.openxmlformats.org/spreadsheetml/2006/main" count="3965" uniqueCount="917">
  <si>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</si>
  <si>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</si>
  <si>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</si>
  <si>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</si>
  <si>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</si>
  <si>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</si>
  <si>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</si>
  <si>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</si>
  <si>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</si>
  <si>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</si>
  <si>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</si>
  <si>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</si>
  <si>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</si>
  <si>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</si>
  <si>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</si>
  <si>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</si>
  <si>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</si>
  <si>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</si>
  <si>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</si>
  <si>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</si>
  <si>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</si>
  <si>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</si>
  <si>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</si>
  <si>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</si>
  <si>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</si>
  <si>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</si>
  <si>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</si>
  <si>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</si>
  <si>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</si>
  <si>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</si>
  <si>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</si>
  <si>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</si>
  <si>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</si>
  <si>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</si>
  <si>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</si>
  <si>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</si>
  <si>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</si>
  <si>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</si>
  <si>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</si>
  <si>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</si>
  <si>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</si>
  <si>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</si>
  <si>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</si>
  <si>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</si>
  <si>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</si>
  <si>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</si>
  <si>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</si>
  <si>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</si>
  <si>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</si>
  <si>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</si>
  <si>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</si>
  <si>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</si>
  <si>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</si>
  <si>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</si>
  <si>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</si>
  <si>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</si>
  <si>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</si>
  <si>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</si>
  <si>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</si>
  <si>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</si>
  <si>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</si>
  <si>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</si>
  <si>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</si>
  <si>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</si>
  <si>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</si>
  <si>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</si>
  <si>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</si>
  <si>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</si>
  <si>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</si>
  <si>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</si>
  <si>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</si>
  <si>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</si>
  <si>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</si>
  <si>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</si>
  <si>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</si>
  <si>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</si>
  <si>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</si>
  <si>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</si>
  <si>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</si>
  <si>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</si>
  <si>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</si>
  <si>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</si>
  <si>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</si>
  <si>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</si>
  <si>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</si>
  <si>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</si>
  <si>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</si>
  <si>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</si>
  <si>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</si>
  <si>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</si>
  <si>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</si>
  <si>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</si>
  <si>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</si>
  <si>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</si>
  <si>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</si>
  <si>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</si>
  <si>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</si>
  <si>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</si>
  <si>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</si>
  <si>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</si>
  <si>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</si>
  <si>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</si>
  <si>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</si>
  <si>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</si>
  <si>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</si>
  <si>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</si>
  <si>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</si>
  <si>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</si>
  <si>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</si>
  <si>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</si>
  <si>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</si>
  <si>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</si>
  <si>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</si>
  <si>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</si>
  <si>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</si>
  <si>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</si>
  <si>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</si>
  <si>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</si>
  <si>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</si>
  <si>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</si>
  <si>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</si>
  <si>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</si>
  <si>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</si>
  <si>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</si>
  <si>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</si>
  <si>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</si>
  <si>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</si>
  <si>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</si>
  <si>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</si>
  <si>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</si>
  <si>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</si>
  <si>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</si>
  <si>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</si>
  <si>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</si>
  <si>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</si>
  <si>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</si>
  <si>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</si>
  <si>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</si>
  <si>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</si>
  <si>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</si>
  <si>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</si>
  <si>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</si>
  <si>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</si>
  <si>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</si>
  <si>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</si>
  <si>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</si>
  <si>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</si>
  <si>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</si>
  <si>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</si>
  <si>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</si>
  <si>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</si>
  <si>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</si>
  <si>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</si>
  <si>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</si>
  <si>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</si>
  <si>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</si>
  <si>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</si>
  <si>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</si>
  <si>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</si>
  <si>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</si>
  <si>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</si>
  <si>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</si>
  <si>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</si>
  <si>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</si>
  <si>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</si>
  <si>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</si>
  <si>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</si>
  <si>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</si>
  <si>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</si>
  <si>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</si>
  <si>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</si>
  <si>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</si>
  <si>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</si>
  <si>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</si>
  <si>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</si>
  <si>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</si>
  <si>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</si>
  <si>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</si>
  <si>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</si>
  <si>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</si>
  <si>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</si>
  <si>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</si>
  <si>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</si>
  <si>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</si>
  <si>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</si>
  <si>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</si>
  <si>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</si>
  <si>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</si>
  <si>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</si>
  <si>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</si>
  <si>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</si>
  <si>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</si>
  <si>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</si>
  <si>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</si>
  <si>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</si>
  <si>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</si>
  <si>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</si>
  <si>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</si>
  <si>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</si>
  <si>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</si>
  <si>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</si>
  <si>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</si>
  <si>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</si>
  <si>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</si>
  <si>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</si>
  <si>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</si>
  <si>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</si>
  <si>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</si>
  <si>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</si>
  <si>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</si>
  <si>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</si>
  <si>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</si>
  <si>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</si>
  <si>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</si>
  <si>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</si>
  <si>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</si>
  <si>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</si>
  <si>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</si>
  <si>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</si>
  <si>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</si>
  <si>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</si>
  <si>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</si>
  <si>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</si>
  <si>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</si>
  <si>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</si>
  <si>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</si>
  <si>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</si>
  <si>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</si>
  <si>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</si>
  <si>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</si>
  <si>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</si>
  <si>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</si>
  <si>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</si>
  <si>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</si>
  <si>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</si>
  <si>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</si>
  <si>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</si>
  <si>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</si>
  <si>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</si>
  <si>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</si>
  <si>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</si>
  <si>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</si>
  <si>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</si>
  <si>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</si>
  <si>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</si>
  <si>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</si>
  <si>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</si>
  <si>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</si>
  <si>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</si>
  <si>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</si>
  <si>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</si>
  <si>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</si>
  <si>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</si>
  <si>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</si>
  <si>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</si>
  <si>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</si>
  <si>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</si>
  <si>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</si>
  <si>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</si>
  <si>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</si>
  <si>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</si>
  <si>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</si>
  <si>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</si>
  <si>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</si>
  <si>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</si>
  <si>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</si>
  <si>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</si>
  <si>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</si>
  <si>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</si>
  <si>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</si>
  <si>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</si>
  <si>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</si>
  <si>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</si>
  <si>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</si>
  <si>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</si>
  <si>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</si>
  <si>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</si>
  <si>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</si>
  <si>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</si>
  <si>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</si>
  <si>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</si>
  <si>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</si>
  <si>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</si>
  <si>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</si>
  <si>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</si>
  <si>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</si>
  <si>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</si>
  <si>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</si>
  <si>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</si>
  <si>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</si>
  <si>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</si>
  <si>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</si>
  <si>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</si>
  <si>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</si>
  <si>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</si>
  <si>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</si>
  <si>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</si>
  <si>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</si>
  <si>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</si>
  <si>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</si>
  <si>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</si>
  <si>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</si>
  <si>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</si>
  <si>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</si>
  <si>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</si>
  <si>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</si>
  <si>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</si>
  <si>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</si>
  <si>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</si>
  <si>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</si>
  <si>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</si>
  <si>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</si>
  <si>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</si>
  <si>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</si>
  <si>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</si>
  <si>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</si>
  <si>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</si>
  <si>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</si>
  <si>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</si>
  <si>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</si>
  <si>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</si>
  <si>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</si>
  <si>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</si>
  <si>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</si>
  <si>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</si>
  <si>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</si>
  <si>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</si>
  <si>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</si>
  <si>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</si>
  <si>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</si>
  <si>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</si>
  <si>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</si>
  <si>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</si>
  <si>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</si>
  <si>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</si>
  <si>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</si>
  <si>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</si>
  <si>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</si>
  <si>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</si>
  <si>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</si>
  <si>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</si>
  <si>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</si>
  <si>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</si>
  <si>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</si>
  <si>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</si>
  <si>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</si>
  <si>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</si>
  <si>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</si>
  <si>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</si>
  <si>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</si>
  <si>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</si>
  <si>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</si>
  <si>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</si>
  <si>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</si>
  <si>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</si>
  <si>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</si>
  <si>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</si>
  <si>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</si>
  <si>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</si>
  <si>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</si>
  <si>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</si>
  <si>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</si>
  <si>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</si>
  <si>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</si>
  <si>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</si>
  <si>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</si>
  <si>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</si>
  <si>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</si>
  <si>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</si>
  <si>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</si>
  <si>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</si>
  <si>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</si>
  <si>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</si>
  <si>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</si>
  <si>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</si>
  <si>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</si>
  <si>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</si>
  <si>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</si>
  <si>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</si>
  <si>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</si>
  <si>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</si>
  <si>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</si>
  <si>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</si>
  <si>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</si>
  <si>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</si>
  <si>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</si>
  <si>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</si>
  <si>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</si>
  <si>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</si>
  <si>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</si>
  <si>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</si>
  <si>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</si>
  <si>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</si>
  <si>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</si>
  <si>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</si>
  <si>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</si>
  <si>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</si>
  <si>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</si>
  <si>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</si>
  <si>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</si>
  <si>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</si>
  <si>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</si>
  <si>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</si>
  <si>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</si>
  <si>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</si>
  <si>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</si>
  <si>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</si>
  <si>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</si>
  <si>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</si>
  <si>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</si>
  <si>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</si>
  <si>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</si>
  <si>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</si>
  <si>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</si>
  <si>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</si>
  <si>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</si>
  <si>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</si>
  <si>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</si>
  <si>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</si>
  <si>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</si>
  <si>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</si>
  <si>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</si>
  <si>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</si>
  <si>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</si>
  <si>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</si>
  <si>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</si>
  <si>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</si>
  <si>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</si>
  <si>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</si>
  <si>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</si>
  <si>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</si>
  <si>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</si>
  <si>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</si>
  <si>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</si>
  <si>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</si>
  <si>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</si>
  <si>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</si>
  <si>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</si>
  <si>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</si>
  <si>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</si>
  <si>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</si>
  <si>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</si>
  <si>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</si>
  <si>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</si>
  <si>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</si>
  <si>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</si>
  <si>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</si>
  <si>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</si>
  <si>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</si>
  <si>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</si>
  <si>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</si>
  <si>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</si>
  <si>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</si>
  <si>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</si>
  <si>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</si>
  <si>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</si>
  <si>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</si>
  <si>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</si>
  <si>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</si>
  <si>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</si>
  <si>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</si>
  <si>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</si>
  <si>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</si>
  <si>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</si>
  <si>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</si>
  <si>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</si>
  <si>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</si>
  <si>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</si>
  <si>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</si>
  <si>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</si>
  <si>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</si>
  <si>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</si>
  <si>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</si>
  <si>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</si>
  <si>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</si>
  <si>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</si>
  <si>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</si>
  <si>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</si>
  <si>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</si>
  <si>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</si>
  <si>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</si>
  <si>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</si>
  <si>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</si>
  <si>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</si>
  <si>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</si>
  <si>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</si>
  <si>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</si>
  <si>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</si>
  <si>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</si>
  <si>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</si>
  <si>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</si>
  <si>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</si>
  <si>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</si>
  <si>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</si>
  <si>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</si>
  <si>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</si>
  <si>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</si>
  <si>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</si>
  <si>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</si>
  <si>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</si>
  <si>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</si>
  <si>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</si>
  <si>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</si>
  <si>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</si>
  <si>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</si>
  <si>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</si>
  <si>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</si>
  <si>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</si>
  <si>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</si>
  <si>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</si>
  <si>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</si>
  <si>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</si>
  <si>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</si>
  <si>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</si>
  <si>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</si>
  <si>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</si>
  <si>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</si>
  <si>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</si>
  <si>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</si>
  <si>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</si>
  <si>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</si>
  <si>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</si>
  <si>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</si>
  <si>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</si>
  <si>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</si>
  <si>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</si>
  <si>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</si>
  <si>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</si>
  <si>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</si>
  <si>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</si>
  <si>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</si>
  <si>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</si>
  <si>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</si>
  <si>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</si>
  <si>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</si>
  <si>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</si>
  <si>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</si>
  <si>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</si>
  <si>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</si>
  <si>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</si>
  <si>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</si>
  <si>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</si>
  <si>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</si>
  <si>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</si>
  <si>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</si>
  <si>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</si>
  <si>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</si>
  <si>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</si>
  <si>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</si>
  <si>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</si>
  <si>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</si>
  <si>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</si>
  <si>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</si>
  <si>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</si>
  <si>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</si>
  <si>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</si>
  <si>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</si>
  <si>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</si>
  <si>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</si>
  <si>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</si>
  <si>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</si>
  <si>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</si>
  <si>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</si>
  <si>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</si>
  <si>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</si>
  <si>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</si>
  <si>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</si>
  <si>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</si>
  <si>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</si>
  <si>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</si>
  <si>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</si>
  <si>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</si>
  <si>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</si>
  <si>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</si>
  <si>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</si>
  <si>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</si>
  <si>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</si>
  <si>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</si>
  <si>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</si>
  <si>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</si>
  <si>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</si>
  <si>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</si>
  <si>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</si>
  <si>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</si>
  <si>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</si>
  <si>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</si>
  <si>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</si>
  <si>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</si>
  <si>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</si>
  <si>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</si>
  <si>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</si>
  <si>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</si>
  <si>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</si>
  <si>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</si>
  <si>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</si>
  <si>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</si>
  <si>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</si>
  <si>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</si>
  <si>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</si>
  <si>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</si>
  <si>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</si>
  <si>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</si>
  <si>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</si>
  <si>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</si>
  <si>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</si>
  <si>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</si>
  <si>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</si>
  <si>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</si>
  <si>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</si>
  <si>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</si>
  <si>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</si>
  <si>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</si>
  <si>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</si>
  <si>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</si>
  <si>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</si>
  <si>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</si>
  <si>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</si>
  <si>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</si>
  <si>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</si>
  <si>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</si>
  <si>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</si>
  <si>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</si>
  <si>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</si>
  <si>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</si>
  <si>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</si>
  <si>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</si>
  <si>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</si>
  <si>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</si>
  <si>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</si>
  <si>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</si>
  <si>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</si>
  <si>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</si>
  <si>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</si>
  <si>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</si>
  <si>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</si>
  <si>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</si>
  <si>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</si>
  <si>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</si>
  <si>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</si>
  <si>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</si>
  <si>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</si>
  <si>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</si>
  <si>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</si>
  <si>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</si>
  <si>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</si>
  <si>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</si>
  <si>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</si>
  <si>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</si>
  <si>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</si>
  <si>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</si>
  <si>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</si>
  <si>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</si>
  <si>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</si>
  <si>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</si>
  <si>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</si>
  <si>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</si>
  <si>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</si>
  <si>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</si>
  <si>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</si>
  <si>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</si>
  <si>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</si>
  <si>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</si>
  <si>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</si>
  <si>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</si>
  <si>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</si>
  <si>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</si>
  <si>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</si>
  <si>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</si>
  <si>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</si>
  <si>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</si>
  <si>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</si>
  <si>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</si>
  <si>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</si>
  <si>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</si>
  <si>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</si>
  <si>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</si>
  <si>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</si>
  <si>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</si>
  <si>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</si>
  <si>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</si>
  <si>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</si>
  <si>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</si>
  <si>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</si>
  <si>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</si>
  <si>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</si>
  <si>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</si>
  <si>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</si>
  <si>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</si>
  <si>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</si>
  <si>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</si>
  <si>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</si>
  <si>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</si>
  <si>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</si>
  <si>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</si>
  <si>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</si>
  <si>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</si>
  <si>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</si>
  <si>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</si>
  <si>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</si>
  <si>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</si>
  <si>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</si>
  <si>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</si>
  <si>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</si>
  <si>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</si>
  <si>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</si>
  <si>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</si>
  <si>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</si>
  <si>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</si>
  <si>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</si>
  <si>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</si>
  <si>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</si>
  <si>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</si>
  <si>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</si>
  <si>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</si>
  <si>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</si>
  <si>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</si>
  <si>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</si>
  <si>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</si>
  <si>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</si>
  <si>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</si>
  <si>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</si>
  <si>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</si>
  <si>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</si>
  <si>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</si>
  <si>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</si>
  <si>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</si>
  <si>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</si>
  <si>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</si>
  <si>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</si>
  <si>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</si>
  <si>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</si>
  <si>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</si>
  <si>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</si>
  <si>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</si>
  <si>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</si>
  <si>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</si>
  <si>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</si>
  <si>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</si>
  <si>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</si>
  <si>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</si>
  <si>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</si>
  <si>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</si>
  <si>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</si>
  <si>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</si>
  <si>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</si>
  <si>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</si>
  <si>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</si>
  <si>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</si>
  <si>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</si>
  <si>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</si>
  <si>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</si>
  <si>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</si>
  <si>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</si>
  <si>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</si>
  <si>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</si>
  <si>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</si>
  <si>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</si>
  <si>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</si>
  <si>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</si>
  <si>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</si>
  <si>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</si>
  <si>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</si>
  <si>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</si>
  <si>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</si>
  <si>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</si>
  <si>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</si>
  <si>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</si>
  <si>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</si>
  <si>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</si>
  <si>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</si>
  <si>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</si>
  <si>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</si>
  <si>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</si>
  <si>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</si>
  <si>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</si>
  <si>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</si>
  <si>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</si>
  <si>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</si>
  <si>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</si>
  <si>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</si>
  <si>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</si>
  <si>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</si>
  <si>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</si>
  <si>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</si>
  <si>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</si>
  <si>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</si>
  <si>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</si>
  <si>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</si>
  <si>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</si>
  <si>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</si>
  <si>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</si>
  <si>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</si>
  <si>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</si>
  <si>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</si>
  <si>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</si>
  <si>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</si>
  <si>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</si>
  <si>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</si>
  <si>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</si>
  <si>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</si>
  <si>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</si>
  <si>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</si>
  <si>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</si>
  <si>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</si>
  <si>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</si>
  <si>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</si>
  <si>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</si>
  <si>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</si>
  <si>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</si>
  <si>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</si>
  <si>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</si>
  <si>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</si>
  <si>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</si>
  <si>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</si>
  <si>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</si>
  <si>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</si>
  <si>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</si>
  <si>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</si>
  <si>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</si>
  <si>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</si>
  <si>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</si>
  <si>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</si>
  <si>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</si>
  <si>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</si>
  <si>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</si>
  <si>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</si>
  <si>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</si>
  <si>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</si>
  <si>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</si>
  <si>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</si>
  <si>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</si>
  <si>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</si>
  <si>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</si>
  <si>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</si>
  <si>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</si>
  <si>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</si>
  <si>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</si>
  <si>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</si>
  <si>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</si>
  <si>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</si>
  <si>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</si>
  <si>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</si>
  <si>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</si>
  <si>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</si>
  <si>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</si>
  <si>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</si>
  <si>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</si>
  <si>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</si>
  <si>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</si>
  <si>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</si>
  <si>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</si>
  <si>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</si>
  <si>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</si>
  <si>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</si>
  <si>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</si>
  <si>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</si>
  <si>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</si>
  <si>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</si>
  <si>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</si>
  <si>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</si>
  <si>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</si>
  <si>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</si>
  <si>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</si>
  <si>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</si>
  <si>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</si>
  <si>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</si>
  <si>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</si>
  <si>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</si>
  <si>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</si>
  <si>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</si>
  <si>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</si>
  <si>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</si>
  <si>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</si>
  <si>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</si>
  <si>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</si>
  <si>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</si>
  <si>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</si>
  <si>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</si>
  <si>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</si>
  <si>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</si>
  <si>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</si>
  <si>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</si>
  <si>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</si>
  <si>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</si>
  <si>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</si>
  <si>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</si>
  <si>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</si>
  <si>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</si>
  <si>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</si>
  <si>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</si>
  <si>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</si>
  <si>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</si>
  <si>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</si>
  <si>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</si>
  <si>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</si>
  <si>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</si>
  <si>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</si>
  <si>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</si>
  <si>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</si>
  <si>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</si>
  <si>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</si>
  <si>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</si>
  <si>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</si>
  <si>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</si>
  <si>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</si>
  <si>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</si>
  <si>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</si>
  <si>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</si>
  <si>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</si>
  <si>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</si>
  <si>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</si>
  <si>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12/02</t>
  </si>
  <si>
    <t>10/22</t>
  </si>
  <si>
    <t>7 &amp; 8</t>
  </si>
  <si>
    <t>197 &amp; 215</t>
  </si>
  <si>
    <t>We received $158,147.81 in surplus refund from Local Government Center for health and dental insurance for 2010</t>
  </si>
  <si>
    <t>Barrington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</si>
</sst>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u/>
      <sz val="8"/>
      <color theme="10"/>
      <name val="Arial"/>
    </font>
    <font>
      <u/>
      <sz val="8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9">
    <xf numFmtId="0" fontId="0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0" fillId="0" borderId="0" xfId="0" applyNumberFormat="1" applyFont="1" applyBorder="1" applyAlignment="1" applyProtection="1">
      <alignment horizontal="left"/>
      <protection locked="0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workbookViewId="0">
      <pane xSplit="5" ySplit="3" topLeftCell="F90" activePane="bottomRight" state="frozen"/>
      <selection pane="topRight" activeCell="F1" sqref="F1"/>
      <selection pane="bottomLeft" activeCell="A4" sqref="A4"/>
      <selection pane="bottomRight" activeCell="F110" sqref="F110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916</v>
      </c>
      <c r="B2" s="21">
        <v>33</v>
      </c>
      <c r="C2" s="21">
        <v>33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2094939.93</f>
        <v>2094939.93</v>
      </c>
      <c r="G9" s="18">
        <v>0</v>
      </c>
      <c r="H9" s="18">
        <v>593335.23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6964.31</v>
      </c>
      <c r="G10" s="18"/>
      <c r="H10" s="18"/>
      <c r="I10" s="18"/>
      <c r="J10" s="67">
        <f>SUM(I440)</f>
        <v>758062.62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153087.84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2254992.0799999996</v>
      </c>
      <c r="G19" s="41">
        <f>SUM(G9:G18)</f>
        <v>0</v>
      </c>
      <c r="H19" s="41">
        <f>SUM(H9:H18)</f>
        <v>593335.23</v>
      </c>
      <c r="I19" s="41">
        <f>SUM(I9:I18)</f>
        <v>0</v>
      </c>
      <c r="J19" s="41">
        <f>SUM(J9:J18)</f>
        <v>758062.62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76543.92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391857.72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593625.76</v>
      </c>
      <c r="G28" s="18" t="s">
        <v>287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 t="s">
        <v>287</v>
      </c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1062027.3999999999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f>348333+300000+150000</f>
        <v>798333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758062.62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593335.23</v>
      </c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394631.67999999999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1192964.68</v>
      </c>
      <c r="G51" s="41">
        <f>SUM(G35:G50)</f>
        <v>0</v>
      </c>
      <c r="H51" s="41">
        <f>SUM(H35:H50)</f>
        <v>593335.23</v>
      </c>
      <c r="I51" s="41">
        <f>SUM(I35:I50)</f>
        <v>0</v>
      </c>
      <c r="J51" s="41">
        <f>SUM(J35:J50)</f>
        <v>758062.62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2254992.08</v>
      </c>
      <c r="G52" s="41">
        <f>G51+G32</f>
        <v>0</v>
      </c>
      <c r="H52" s="41">
        <f>H51+H32</f>
        <v>593335.23</v>
      </c>
      <c r="I52" s="41">
        <f>I51+I32</f>
        <v>0</v>
      </c>
      <c r="J52" s="41">
        <f>J51+J32</f>
        <v>758062.62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11936249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11936249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67924.98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54009.48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121934.45999999999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213.79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193777.09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104225.8-5637</f>
        <v>98588.800000000003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98588.800000000003</v>
      </c>
      <c r="G111" s="41">
        <f>SUM(G96:G110)</f>
        <v>193777.09</v>
      </c>
      <c r="H111" s="41">
        <f>SUM(H96:H110)</f>
        <v>0</v>
      </c>
      <c r="I111" s="41">
        <f>SUM(I96:I110)</f>
        <v>0</v>
      </c>
      <c r="J111" s="41">
        <f>SUM(J96:J110)</f>
        <v>213.79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12156772.260000002</v>
      </c>
      <c r="G112" s="41">
        <f>G60+G111</f>
        <v>193777.09</v>
      </c>
      <c r="H112" s="41">
        <f>H60+H79+H94+H111</f>
        <v>0</v>
      </c>
      <c r="I112" s="41">
        <f>I60+I111</f>
        <v>0</v>
      </c>
      <c r="J112" s="41">
        <f>J60+J111</f>
        <v>213.79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4183255.79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1997078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6180333.79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231529.28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163272.35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4267.13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394801.63</v>
      </c>
      <c r="G136" s="41">
        <f>SUM(G123:G135)</f>
        <v>4267.13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6575135.4199999999</v>
      </c>
      <c r="G140" s="41">
        <f>G121+SUM(G136:G137)</f>
        <v>4267.13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23164.53+6017.24+83921.83</f>
        <v>113103.6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317746.2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95162.25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190738.58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190738.58</v>
      </c>
      <c r="G162" s="41">
        <f>SUM(G150:G161)</f>
        <v>95162.25</v>
      </c>
      <c r="H162" s="41">
        <f>SUM(H150:H161)</f>
        <v>430849.80000000005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190738.58</v>
      </c>
      <c r="G169" s="41">
        <f>G147+G162+SUM(G163:G168)</f>
        <v>95162.25</v>
      </c>
      <c r="H169" s="41">
        <f>H147+H162+SUM(H163:H168)</f>
        <v>430849.80000000005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4682.87</v>
      </c>
      <c r="H179" s="18"/>
      <c r="I179" s="18"/>
      <c r="J179" s="18">
        <f>550000+160000</f>
        <v>710000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f>2869.99+56.62+1510.39+1200</f>
        <v>5637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5637</v>
      </c>
      <c r="G183" s="41">
        <f>SUM(G179:G182)</f>
        <v>4682.87</v>
      </c>
      <c r="H183" s="41">
        <f>SUM(H179:H182)</f>
        <v>0</v>
      </c>
      <c r="I183" s="41">
        <f>SUM(I179:I182)</f>
        <v>0</v>
      </c>
      <c r="J183" s="41">
        <f>SUM(J179:J182)</f>
        <v>710000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5637</v>
      </c>
      <c r="G192" s="41">
        <f>G183+SUM(G188:G191)</f>
        <v>4682.87</v>
      </c>
      <c r="H192" s="41">
        <f>+H183+SUM(H188:H191)</f>
        <v>0</v>
      </c>
      <c r="I192" s="41">
        <f>I177+I183+SUM(I188:I191)</f>
        <v>0</v>
      </c>
      <c r="J192" s="41">
        <f>J183</f>
        <v>710000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18928283.259999998</v>
      </c>
      <c r="G193" s="47">
        <f>G112+G140+G169+G192</f>
        <v>297889.33999999997</v>
      </c>
      <c r="H193" s="47">
        <f>H112+H140+H169+H192</f>
        <v>430849.80000000005</v>
      </c>
      <c r="I193" s="47">
        <f>I112+I140+I169+I192</f>
        <v>0</v>
      </c>
      <c r="J193" s="47">
        <f>J112+J140+J192</f>
        <v>710213.79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1137797.7+263710.16+12248+90881.01+48266.5+13526.5+63970.31+43313.86</f>
        <v>1673714.04</v>
      </c>
      <c r="G197" s="18">
        <f>294944.55+107525.36+7945.92+2506.08+942+336+2690.15+767.7+9800.93+92757.06+28214.69+156830.53+47201.95+2082.86+43086.46+0.1</f>
        <v>797632.33999999985</v>
      </c>
      <c r="H197" s="18">
        <f>5211.4+1612.52</f>
        <v>6823.92</v>
      </c>
      <c r="I197" s="18">
        <f>10675.42+2863.97+805.92+156.84+8204.7+942.94+442.08+175.17+11661.76+907.25+500+190.65+1029.24+660.77+135.67+47.96+499.48+1487.13</f>
        <v>41386.94999999999</v>
      </c>
      <c r="J197" s="18">
        <f>279.97+1321.9</f>
        <v>1601.8700000000001</v>
      </c>
      <c r="K197" s="18"/>
      <c r="L197" s="19">
        <f>SUM(F197:K197)</f>
        <v>2521159.12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221897.93+33199.92+280237.1+104375.04+3492+1644+10342.5+18686.25+26640+16680.54</f>
        <v>717195.28</v>
      </c>
      <c r="G198" s="18">
        <f>175686.79+56070.11+3100.68+735+216+1269.4+314.3+40236.97+12272.65+61061.44+19062.81+1510.12</f>
        <v>371536.27</v>
      </c>
      <c r="H198" s="18">
        <f>22932+45242.02</f>
        <v>68174.01999999999</v>
      </c>
      <c r="I198" s="18">
        <f>4087.89+128.04+3000+500</f>
        <v>7715.93</v>
      </c>
      <c r="J198" s="18">
        <f>2000+554.96+2500+1200+1674.98</f>
        <v>7929.9400000000005</v>
      </c>
      <c r="K198" s="18"/>
      <c r="L198" s="19">
        <f>SUM(F198:K198)</f>
        <v>1172551.44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91400.92+25120.04+54798.12+57596.5+54930.92+34065.98+22518.86+135.79+151415.3</f>
        <v>491982.42999999993</v>
      </c>
      <c r="G202" s="18">
        <f>12561.25+351.56+156.29+72+6+222.36+7.4+7298.38+12942.38+3200+4000+711.83+66+181.72+2187.28+4497.98+7759.44+26272.83+4000+598.11+72+36+219.99+131.76+7012.22+4508.22+11824.54+7778.32+9857+36+54.24+1296.69+2425.3+65881.89</f>
        <v>198226.98000000004</v>
      </c>
      <c r="H202" s="18">
        <f>527.92+283.6+323.75+15975</f>
        <v>17110.27</v>
      </c>
      <c r="I202" s="18">
        <f>39.54+132.68+986.26+349.95+1016.22+967.64+1657.45</f>
        <v>5149.74</v>
      </c>
      <c r="J202" s="18">
        <f>300+291.19</f>
        <v>591.19000000000005</v>
      </c>
      <c r="K202" s="18">
        <f>4485.42</f>
        <v>4485.42</v>
      </c>
      <c r="L202" s="19">
        <f t="shared" ref="L202:L208" si="0">SUM(F202:K202)</f>
        <v>717546.02999999991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59733.96+43150.12+34318.96</f>
        <v>137203.04</v>
      </c>
      <c r="G203" s="18">
        <f>17154.87+595.06+36+143.28+4569.5+8458.32+22287.37+791.02+36+103.56+3300.96+6110+13654.89</f>
        <v>77240.829999999987</v>
      </c>
      <c r="H203" s="18">
        <f>9797.86+41269.41</f>
        <v>51067.270000000004</v>
      </c>
      <c r="I203" s="18">
        <f>746.32+17.89+6915.31+500+3496.01+3017.05+915.77+1517.46+848.74</f>
        <v>17974.550000000003</v>
      </c>
      <c r="J203" s="18">
        <f>998.33+39966.51+7488.24+1500+521.69+5511.86+2000+3500.02</f>
        <v>61486.65</v>
      </c>
      <c r="K203" s="18">
        <f>17344.4/2</f>
        <v>8672.2000000000007</v>
      </c>
      <c r="L203" s="19">
        <f t="shared" si="0"/>
        <v>353644.54000000004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773.33+91386.01</f>
        <v>92159.34</v>
      </c>
      <c r="G204" s="18">
        <f>102.04+42348.5</f>
        <v>42450.54</v>
      </c>
      <c r="H204" s="18">
        <f>25347.45+7807.04</f>
        <v>33154.49</v>
      </c>
      <c r="I204" s="18">
        <f>1222.08</f>
        <v>1222.08</v>
      </c>
      <c r="J204" s="18">
        <f>702.42</f>
        <v>702.42</v>
      </c>
      <c r="K204" s="18">
        <f>1179.59+4338.49</f>
        <v>5518.08</v>
      </c>
      <c r="L204" s="19">
        <f t="shared" si="0"/>
        <v>175206.94999999998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86700.12+37954.82+71910.02+59219.16+24905.14</f>
        <v>280689.26</v>
      </c>
      <c r="G205" s="18">
        <f>57634.24+20634.39+3199.53+782.84+144+54+430.08+131.51+16664.18+4808.85+28836.97+8630.57</f>
        <v>141951.16</v>
      </c>
      <c r="H205" s="18">
        <f>830+189.99+359+2101.38+1591.37+1407.35+500+755+322.5+264+1109.3</f>
        <v>9429.89</v>
      </c>
      <c r="I205" s="18">
        <f>768.37+325.92</f>
        <v>1094.29</v>
      </c>
      <c r="J205" s="18">
        <f>8425.6+2107.15</f>
        <v>10532.75</v>
      </c>
      <c r="K205" s="18">
        <f>203</f>
        <v>203</v>
      </c>
      <c r="L205" s="19">
        <f t="shared" si="0"/>
        <v>443900.35000000003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33117.07</f>
        <v>33117.07</v>
      </c>
      <c r="G206" s="18">
        <v>17286.77</v>
      </c>
      <c r="H206" s="18">
        <v>4295.83</v>
      </c>
      <c r="I206" s="18">
        <v>566.04999999999995</v>
      </c>
      <c r="J206" s="18"/>
      <c r="K206" s="18"/>
      <c r="L206" s="19">
        <f t="shared" si="0"/>
        <v>55265.72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98689.75+68778.78+9621.79</f>
        <v>177090.32</v>
      </c>
      <c r="G207" s="18">
        <f>31896.77+1382.7+126+218.99+9127.39+10611.96+31424.16</f>
        <v>84787.97</v>
      </c>
      <c r="H207" s="18">
        <f>438.5+792.5+1152.5+12529+7573+3543.5+2726.5+6763.52+2598.78+56351.12+4762.45+125+250+1270.24+1440.01+30447.95+2562.54</f>
        <v>135327.11000000002</v>
      </c>
      <c r="I207" s="18">
        <f>12990.99+5066.48+50529.85+13655.61+50572.42+24538.46+11347.45+340.57</f>
        <v>169041.83000000002</v>
      </c>
      <c r="J207" s="18">
        <v>1350</v>
      </c>
      <c r="K207" s="18"/>
      <c r="L207" s="19">
        <f t="shared" si="0"/>
        <v>567597.23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209430+51410.92+49260+3723.87+985.94+1466.25</f>
        <v>316276.98</v>
      </c>
      <c r="I208" s="18"/>
      <c r="J208" s="18"/>
      <c r="K208" s="18"/>
      <c r="L208" s="19">
        <f t="shared" si="0"/>
        <v>316276.98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3603150.7799999993</v>
      </c>
      <c r="G211" s="41">
        <f t="shared" si="1"/>
        <v>1731112.8599999999</v>
      </c>
      <c r="H211" s="41">
        <f t="shared" si="1"/>
        <v>641659.78</v>
      </c>
      <c r="I211" s="41">
        <f t="shared" si="1"/>
        <v>244151.41999999998</v>
      </c>
      <c r="J211" s="41">
        <f t="shared" si="1"/>
        <v>84194.82</v>
      </c>
      <c r="K211" s="41">
        <f t="shared" si="1"/>
        <v>18878.7</v>
      </c>
      <c r="L211" s="41">
        <f t="shared" si="1"/>
        <v>6323148.3599999994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1228930.45+14842+45782.36+63970.31</f>
        <v>1353525.12</v>
      </c>
      <c r="G215" s="18">
        <f>273733.39+4708.38+1014+2842.19+100867.56+171346.76+2082.86+43086.46</f>
        <v>599681.6</v>
      </c>
      <c r="H215" s="18">
        <f>3742.02+339+18</f>
        <v>4099.0200000000004</v>
      </c>
      <c r="I215" s="18">
        <f>15259.72+988.22+1444.43+103.25+1010.89+3000+2999.72+2815.73+903.02+5229.61+595.21+801.67+498.01+6009.22</f>
        <v>41658.699999999997</v>
      </c>
      <c r="J215" s="18">
        <f>134.85</f>
        <v>134.85</v>
      </c>
      <c r="K215" s="18">
        <f>5285.88</f>
        <v>5285.88</v>
      </c>
      <c r="L215" s="19">
        <f>SUM(F215:K215)</f>
        <v>2004385.1700000002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299640.98+321122.05+1439+10980+16680.54</f>
        <v>649862.57000000007</v>
      </c>
      <c r="G216" s="18">
        <f>212411.51+3650.65+750+1422.24+48521.2+77509.13+1510.12</f>
        <v>345774.85</v>
      </c>
      <c r="H216" s="18">
        <f>14193.12+243008.74+45242.03</f>
        <v>302443.89</v>
      </c>
      <c r="I216" s="18">
        <f>3348.33+3000</f>
        <v>6348.33</v>
      </c>
      <c r="J216" s="18">
        <f>3319.72+2500+1674.97</f>
        <v>7494.69</v>
      </c>
      <c r="K216" s="18"/>
      <c r="L216" s="19">
        <f>SUM(F216:K216)</f>
        <v>1311924.33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13500+27200</f>
        <v>40700</v>
      </c>
      <c r="G218" s="18">
        <f>1032.76+1691.26+2079.54+2579.63</f>
        <v>7383.19</v>
      </c>
      <c r="H218" s="18">
        <f>5907.5</f>
        <v>5907.5</v>
      </c>
      <c r="I218" s="18">
        <f>5280.09</f>
        <v>5280.09</v>
      </c>
      <c r="J218" s="18"/>
      <c r="K218" s="18"/>
      <c r="L218" s="19">
        <f>SUM(F218:K218)</f>
        <v>59270.78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74399.94+36550+21013.98+135.79+151415.31</f>
        <v>283515.02</v>
      </c>
      <c r="G220" s="18">
        <f>46983.88+980.46+72+178.32+5651.15+10520.9+22056.36+36+87.72+2796+5175.58+30+42.24+1607.71+2263.15+65881.9</f>
        <v>164363.37</v>
      </c>
      <c r="H220" s="18">
        <f>15975</f>
        <v>15975</v>
      </c>
      <c r="I220" s="18">
        <f>281+95.03+283.67+1209.68+967.65+1657.49</f>
        <v>4494.5200000000004</v>
      </c>
      <c r="J220" s="18">
        <f>69</f>
        <v>69</v>
      </c>
      <c r="K220" s="18">
        <f>4485.43</f>
        <v>4485.43</v>
      </c>
      <c r="L220" s="19">
        <f t="shared" ref="L220:L226" si="2">SUM(F220:K220)</f>
        <v>472902.34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45000+39250.12+34318.96</f>
        <v>118569.07999999999</v>
      </c>
      <c r="G221" s="18">
        <f>4000+36+94.2+3308.74+5557.76+16571.13+516.78+36+108+3442.56+6372+13654.9</f>
        <v>53698.07</v>
      </c>
      <c r="H221" s="18">
        <f>9797.86+41269.41</f>
        <v>51067.270000000004</v>
      </c>
      <c r="I221" s="18">
        <f>2971.59+2926.31+794.73+4964.57+2908.01</f>
        <v>14565.21</v>
      </c>
      <c r="J221" s="18">
        <f>19968.13+1506.29+5509.83+3500.02</f>
        <v>30484.27</v>
      </c>
      <c r="K221" s="18">
        <f>17344.4/2</f>
        <v>8672.2000000000007</v>
      </c>
      <c r="L221" s="19">
        <f t="shared" si="2"/>
        <v>277056.09999999998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773.33+91386.01</f>
        <v>92159.34</v>
      </c>
      <c r="G222" s="18">
        <f>102.04+42348.5</f>
        <v>42450.54</v>
      </c>
      <c r="H222" s="18">
        <f>25347.45+7807.04</f>
        <v>33154.49</v>
      </c>
      <c r="I222" s="18">
        <f>1222.08</f>
        <v>1222.08</v>
      </c>
      <c r="J222" s="18">
        <f>702.42</f>
        <v>702.42</v>
      </c>
      <c r="K222" s="18">
        <f>1179.59+4338.49</f>
        <v>5518.08</v>
      </c>
      <c r="L222" s="19">
        <f t="shared" si="2"/>
        <v>175206.94999999998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83000.06+77030.46+62020.4</f>
        <v>222050.92</v>
      </c>
      <c r="G223" s="18">
        <f>54457.51+3151.67+144+434.88+16986.78+29339.96</f>
        <v>104514.79999999999</v>
      </c>
      <c r="H223" s="18">
        <f>298+8837.46+1500+1899.9+264.87</f>
        <v>12800.23</v>
      </c>
      <c r="I223" s="18">
        <f>527.18</f>
        <v>527.17999999999995</v>
      </c>
      <c r="J223" s="18">
        <f>10532.8</f>
        <v>10532.8</v>
      </c>
      <c r="K223" s="18">
        <f>844+472.6</f>
        <v>1316.6</v>
      </c>
      <c r="L223" s="19">
        <f t="shared" si="2"/>
        <v>351742.52999999991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f>33117.07</f>
        <v>33117.07</v>
      </c>
      <c r="G224" s="18">
        <v>17286.77</v>
      </c>
      <c r="H224" s="18">
        <v>4295.83</v>
      </c>
      <c r="I224" s="18">
        <v>566.04999999999995</v>
      </c>
      <c r="J224" s="18"/>
      <c r="K224" s="18"/>
      <c r="L224" s="19">
        <f t="shared" si="2"/>
        <v>55265.72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98689.38+68778.78+9621.8</f>
        <v>177089.96</v>
      </c>
      <c r="G225" s="18">
        <f>31896.79+1382.7+126+218.97+7524.49+9849.81+31424.16</f>
        <v>82422.92</v>
      </c>
      <c r="H225" s="18">
        <f>438.5+912.5+21164+2745+6571.34+31734.04+1270.25+1440.01+30447.95+2562.55+125</f>
        <v>99411.14</v>
      </c>
      <c r="I225" s="18">
        <f>25320.65+109394+66886.73+4328.14</f>
        <v>205929.52000000002</v>
      </c>
      <c r="J225" s="18">
        <v>1350</v>
      </c>
      <c r="K225" s="18"/>
      <c r="L225" s="19">
        <f t="shared" si="2"/>
        <v>566203.54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209430+62237.38+8986.65+5879.64+1466.25</f>
        <v>287999.92000000004</v>
      </c>
      <c r="I226" s="18"/>
      <c r="J226" s="18"/>
      <c r="K226" s="18"/>
      <c r="L226" s="19">
        <f t="shared" si="2"/>
        <v>287999.92000000004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2970589.0799999996</v>
      </c>
      <c r="G229" s="41">
        <f>SUM(G215:G228)</f>
        <v>1417576.1099999999</v>
      </c>
      <c r="H229" s="41">
        <f>SUM(H215:H228)</f>
        <v>817154.29</v>
      </c>
      <c r="I229" s="41">
        <f>SUM(I215:I228)</f>
        <v>280591.68000000005</v>
      </c>
      <c r="J229" s="41">
        <f>SUM(J215:J228)</f>
        <v>50768.03</v>
      </c>
      <c r="K229" s="41">
        <f t="shared" si="3"/>
        <v>25278.190000000002</v>
      </c>
      <c r="L229" s="41">
        <f t="shared" si="3"/>
        <v>5561957.3799999999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2371423.73+1397931.13+759329.77</f>
        <v>4528684.63</v>
      </c>
      <c r="I233" s="18"/>
      <c r="J233" s="18"/>
      <c r="K233" s="18"/>
      <c r="L233" s="19">
        <f>SUM(F233:K233)</f>
        <v>4528684.63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1916.5+295895.23+27544.05+78004.82</f>
        <v>403360.6</v>
      </c>
      <c r="I234" s="18"/>
      <c r="J234" s="18">
        <f>500+500</f>
        <v>1000</v>
      </c>
      <c r="K234" s="18"/>
      <c r="L234" s="19">
        <f>SUM(F234:K234)</f>
        <v>404360.6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773.33+91386.01</f>
        <v>92159.34</v>
      </c>
      <c r="G240" s="18">
        <f>102.04+42348.5</f>
        <v>42450.54</v>
      </c>
      <c r="H240" s="18">
        <f>25347.45+7807.04</f>
        <v>33154.49</v>
      </c>
      <c r="I240" s="18">
        <f>1222.08</f>
        <v>1222.08</v>
      </c>
      <c r="J240" s="18">
        <f>702.42</f>
        <v>702.42</v>
      </c>
      <c r="K240" s="18">
        <f>1179.59+4338.49</f>
        <v>5518.08</v>
      </c>
      <c r="L240" s="19">
        <f t="shared" si="4"/>
        <v>175206.94999999998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33117.07</f>
        <v>33117.07</v>
      </c>
      <c r="G242" s="18">
        <v>17286.77</v>
      </c>
      <c r="H242" s="18">
        <v>4295.83</v>
      </c>
      <c r="I242" s="18">
        <v>566.04999999999995</v>
      </c>
      <c r="J242" s="18"/>
      <c r="K242" s="18"/>
      <c r="L242" s="19">
        <f t="shared" si="4"/>
        <v>55265.72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50669.22+167544</f>
        <v>218213.22</v>
      </c>
      <c r="I244" s="18"/>
      <c r="J244" s="18"/>
      <c r="K244" s="18"/>
      <c r="L244" s="19">
        <f t="shared" si="4"/>
        <v>218213.22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125276.41</v>
      </c>
      <c r="G247" s="41">
        <f t="shared" si="5"/>
        <v>59737.31</v>
      </c>
      <c r="H247" s="41">
        <f t="shared" si="5"/>
        <v>5187708.7699999996</v>
      </c>
      <c r="I247" s="41">
        <f t="shared" si="5"/>
        <v>1788.1299999999999</v>
      </c>
      <c r="J247" s="41">
        <f t="shared" si="5"/>
        <v>1702.42</v>
      </c>
      <c r="K247" s="41">
        <f t="shared" si="5"/>
        <v>5518.08</v>
      </c>
      <c r="L247" s="41">
        <f t="shared" si="5"/>
        <v>5381731.1199999992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36058.12</f>
        <v>36058.120000000003</v>
      </c>
      <c r="I255" s="18"/>
      <c r="J255" s="18"/>
      <c r="K255" s="18"/>
      <c r="L255" s="19">
        <f t="shared" si="6"/>
        <v>36058.120000000003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36058.120000000003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36058.120000000003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6699016.2699999996</v>
      </c>
      <c r="G257" s="41">
        <f t="shared" si="8"/>
        <v>3208426.28</v>
      </c>
      <c r="H257" s="41">
        <f t="shared" si="8"/>
        <v>6682580.96</v>
      </c>
      <c r="I257" s="41">
        <f t="shared" si="8"/>
        <v>526531.2300000001</v>
      </c>
      <c r="J257" s="41">
        <f t="shared" si="8"/>
        <v>136665.27000000002</v>
      </c>
      <c r="K257" s="41">
        <f t="shared" si="8"/>
        <v>49674.97</v>
      </c>
      <c r="L257" s="41">
        <f t="shared" si="8"/>
        <v>17302894.98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710000</v>
      </c>
      <c r="L260" s="19">
        <f>SUM(F260:K260)</f>
        <v>710000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305300</v>
      </c>
      <c r="L261" s="19">
        <f>SUM(F261:K261)</f>
        <v>305300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4682.87</v>
      </c>
      <c r="L263" s="19">
        <f>SUM(F263:K263)</f>
        <v>4682.87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 t="s">
        <v>287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f>710000</f>
        <v>710000</v>
      </c>
      <c r="L266" s="19">
        <f t="shared" si="9"/>
        <v>710000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1729982.87</v>
      </c>
      <c r="L270" s="41">
        <f t="shared" si="9"/>
        <v>1729982.87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6699016.2699999996</v>
      </c>
      <c r="G271" s="42">
        <f t="shared" si="11"/>
        <v>3208426.28</v>
      </c>
      <c r="H271" s="42">
        <f t="shared" si="11"/>
        <v>6682580.96</v>
      </c>
      <c r="I271" s="42">
        <f t="shared" si="11"/>
        <v>526531.2300000001</v>
      </c>
      <c r="J271" s="42">
        <f t="shared" si="11"/>
        <v>136665.27000000002</v>
      </c>
      <c r="K271" s="42">
        <f t="shared" si="11"/>
        <v>1779657.84</v>
      </c>
      <c r="L271" s="42">
        <f t="shared" si="11"/>
        <v>19032877.850000001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1000+750+19283.56+1190+64318.8+10350</f>
        <v>96892.36</v>
      </c>
      <c r="G276" s="18">
        <f>57.37+84.75+11076.68+75+131.48+5011.44+7080.39</f>
        <v>23517.11</v>
      </c>
      <c r="H276" s="18">
        <f>1340+1500+916+21008.72</f>
        <v>24764.720000000001</v>
      </c>
      <c r="I276" s="18">
        <f>1085.87+198.46+3345.92+600+1159.91+530.4+11843.79</f>
        <v>18764.349999999999</v>
      </c>
      <c r="J276" s="18">
        <f>9449.73</f>
        <v>9449.73</v>
      </c>
      <c r="K276" s="18"/>
      <c r="L276" s="19">
        <f>SUM(F276:K276)</f>
        <v>173388.27000000002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147410.06+16925</f>
        <v>164335.06</v>
      </c>
      <c r="G277" s="18">
        <f>24452.89+2000+1166.58+90+18+322.55+39.21+11276.87+1218.1+16657.34+1912.53</f>
        <v>59154.069999999992</v>
      </c>
      <c r="H277" s="18">
        <f>4740.45+2271.65</f>
        <v>7012.1</v>
      </c>
      <c r="I277" s="18">
        <f>2417.12</f>
        <v>2417.12</v>
      </c>
      <c r="J277" s="18">
        <f>5465.22</f>
        <v>5465.22</v>
      </c>
      <c r="K277" s="18"/>
      <c r="L277" s="19">
        <f>SUM(F277:K277)</f>
        <v>238383.57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261227.41999999998</v>
      </c>
      <c r="G290" s="42">
        <f t="shared" si="13"/>
        <v>82671.179999999993</v>
      </c>
      <c r="H290" s="42">
        <f t="shared" si="13"/>
        <v>31776.82</v>
      </c>
      <c r="I290" s="42">
        <f t="shared" si="13"/>
        <v>21181.469999999998</v>
      </c>
      <c r="J290" s="42">
        <f t="shared" si="13"/>
        <v>14914.95</v>
      </c>
      <c r="K290" s="42">
        <f t="shared" si="13"/>
        <v>0</v>
      </c>
      <c r="L290" s="41">
        <f t="shared" si="13"/>
        <v>411771.84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261227.41999999998</v>
      </c>
      <c r="G338" s="41">
        <f t="shared" si="20"/>
        <v>82671.179999999993</v>
      </c>
      <c r="H338" s="41">
        <f t="shared" si="20"/>
        <v>31776.82</v>
      </c>
      <c r="I338" s="41">
        <f t="shared" si="20"/>
        <v>21181.469999999998</v>
      </c>
      <c r="J338" s="41">
        <f t="shared" si="20"/>
        <v>14914.95</v>
      </c>
      <c r="K338" s="41">
        <f t="shared" si="20"/>
        <v>0</v>
      </c>
      <c r="L338" s="41">
        <f t="shared" si="20"/>
        <v>411771.84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f>2869.99+56.62+1510.39+1200</f>
        <v>5637</v>
      </c>
      <c r="L344" s="19">
        <f t="shared" ref="L344:L350" si="21">SUM(F344:K344)</f>
        <v>5637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5637</v>
      </c>
      <c r="L351" s="41">
        <f>SUM(L341:L350)</f>
        <v>5637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261227.41999999998</v>
      </c>
      <c r="G352" s="41">
        <f>G338</f>
        <v>82671.179999999993</v>
      </c>
      <c r="H352" s="41">
        <f>H338</f>
        <v>31776.82</v>
      </c>
      <c r="I352" s="41">
        <f>I338</f>
        <v>21181.469999999998</v>
      </c>
      <c r="J352" s="41">
        <f>J338</f>
        <v>14914.95</v>
      </c>
      <c r="K352" s="47">
        <f>K338+K351</f>
        <v>5637</v>
      </c>
      <c r="L352" s="41">
        <f>L338+L351</f>
        <v>417408.84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293642/2</f>
        <v>146821</v>
      </c>
      <c r="I358" s="18"/>
      <c r="J358" s="18"/>
      <c r="K358" s="18">
        <v>4325.5</v>
      </c>
      <c r="L358" s="13">
        <f>SUM(F358:K358)</f>
        <v>151146.5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f>293642/2</f>
        <v>146821</v>
      </c>
      <c r="I359" s="18"/>
      <c r="J359" s="18"/>
      <c r="K359" s="18">
        <v>4325.49</v>
      </c>
      <c r="L359" s="19">
        <f>SUM(F359:K359)</f>
        <v>151146.49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293642</v>
      </c>
      <c r="I362" s="47">
        <f t="shared" si="22"/>
        <v>0</v>
      </c>
      <c r="J362" s="47">
        <f t="shared" si="22"/>
        <v>0</v>
      </c>
      <c r="K362" s="47">
        <f t="shared" si="22"/>
        <v>8650.99</v>
      </c>
      <c r="L362" s="47">
        <f t="shared" si="22"/>
        <v>302292.99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710000</v>
      </c>
      <c r="H389" s="18">
        <v>213.79</v>
      </c>
      <c r="I389" s="18"/>
      <c r="J389" s="24" t="s">
        <v>289</v>
      </c>
      <c r="K389" s="24" t="s">
        <v>289</v>
      </c>
      <c r="L389" s="56">
        <f t="shared" si="25"/>
        <v>710213.79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710000</v>
      </c>
      <c r="H393" s="139">
        <f>SUM(H387:H392)</f>
        <v>213.79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710213.79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710000</v>
      </c>
      <c r="H408" s="47">
        <f>H393+H401+H407</f>
        <v>213.79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710213.79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>
        <f>430224.3</f>
        <v>430224.3</v>
      </c>
      <c r="I415" s="18"/>
      <c r="J415" s="18"/>
      <c r="K415" s="18"/>
      <c r="L415" s="56">
        <f t="shared" si="27"/>
        <v>430224.3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430224.3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430224.3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430224.3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430224.3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758062.62</v>
      </c>
      <c r="G440" s="18"/>
      <c r="H440" s="18"/>
      <c r="I440" s="56">
        <f t="shared" si="33"/>
        <v>758062.62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758062.62</v>
      </c>
      <c r="G446" s="13">
        <f>SUM(G439:G445)</f>
        <v>0</v>
      </c>
      <c r="H446" s="13">
        <f>SUM(H439:H445)</f>
        <v>0</v>
      </c>
      <c r="I446" s="13">
        <f>SUM(I439:I445)</f>
        <v>758062.62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>
        <v>758062.62</v>
      </c>
      <c r="G455" s="18"/>
      <c r="H455" s="18"/>
      <c r="I455" s="56">
        <f t="shared" si="34"/>
        <v>758062.62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758062.62</v>
      </c>
      <c r="G460" s="83">
        <f>SUM(G454:G459)</f>
        <v>0</v>
      </c>
      <c r="H460" s="83">
        <f>SUM(H454:H459)</f>
        <v>0</v>
      </c>
      <c r="I460" s="83">
        <f>SUM(I454:I459)</f>
        <v>758062.62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758062.62</v>
      </c>
      <c r="G461" s="42">
        <f>G452+G460</f>
        <v>0</v>
      </c>
      <c r="H461" s="42">
        <f>H452+H460</f>
        <v>0</v>
      </c>
      <c r="I461" s="42">
        <f>I452+I460</f>
        <v>758062.62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1297559.27</v>
      </c>
      <c r="G465" s="18">
        <v>4403.6499999999996</v>
      </c>
      <c r="H465" s="18">
        <v>579894.27</v>
      </c>
      <c r="I465" s="18">
        <v>0</v>
      </c>
      <c r="J465" s="18">
        <v>478073.13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18928283.260000002</v>
      </c>
      <c r="G468" s="18">
        <v>297889.34000000003</v>
      </c>
      <c r="H468" s="18">
        <v>430849.8</v>
      </c>
      <c r="I468" s="18"/>
      <c r="J468" s="18">
        <f>550000+160000+213.79</f>
        <v>710213.79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18928283.260000002</v>
      </c>
      <c r="G470" s="53">
        <f>SUM(G468:G469)</f>
        <v>297889.34000000003</v>
      </c>
      <c r="H470" s="53">
        <f>SUM(H468:H469)</f>
        <v>430849.8</v>
      </c>
      <c r="I470" s="53">
        <f>SUM(I468:I469)</f>
        <v>0</v>
      </c>
      <c r="J470" s="53">
        <f>SUM(J468:J469)</f>
        <v>710213.79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18274881.02+714682.87+43313.96</f>
        <v>19032877.850000001</v>
      </c>
      <c r="G472" s="18">
        <v>302292.99</v>
      </c>
      <c r="H472" s="18">
        <v>417408.84</v>
      </c>
      <c r="I472" s="18"/>
      <c r="J472" s="18">
        <f>400000+17224.3+13000</f>
        <v>430224.3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19032877.850000001</v>
      </c>
      <c r="G474" s="53">
        <f>SUM(G472:G473)</f>
        <v>302292.99</v>
      </c>
      <c r="H474" s="53">
        <f>SUM(H472:H473)</f>
        <v>417408.84</v>
      </c>
      <c r="I474" s="53">
        <f>SUM(I472:I473)</f>
        <v>0</v>
      </c>
      <c r="J474" s="53">
        <f>SUM(J472:J473)</f>
        <v>430224.3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1192964.6799999997</v>
      </c>
      <c r="G476" s="53">
        <f>(G465+G470)- G474</f>
        <v>0</v>
      </c>
      <c r="H476" s="53">
        <f>(H465+H470)- H474</f>
        <v>593335.23</v>
      </c>
      <c r="I476" s="53">
        <f>(I465+I470)- I474</f>
        <v>0</v>
      </c>
      <c r="J476" s="53">
        <f>(J465+J470)- J474</f>
        <v>758062.61999999988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14144129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3.7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6390000</v>
      </c>
      <c r="G495" s="18"/>
      <c r="H495" s="18"/>
      <c r="I495" s="18"/>
      <c r="J495" s="18"/>
      <c r="K495" s="53">
        <f>SUM(F495:J495)</f>
        <v>6390000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710000</v>
      </c>
      <c r="G497" s="18"/>
      <c r="H497" s="18"/>
      <c r="I497" s="18"/>
      <c r="J497" s="18"/>
      <c r="K497" s="53">
        <f t="shared" si="35"/>
        <v>710000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5680000</v>
      </c>
      <c r="G498" s="204"/>
      <c r="H498" s="204"/>
      <c r="I498" s="204"/>
      <c r="J498" s="204"/>
      <c r="K498" s="205">
        <f t="shared" si="35"/>
        <v>5680000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1345627.5</v>
      </c>
      <c r="G499" s="18"/>
      <c r="H499" s="18"/>
      <c r="I499" s="18"/>
      <c r="J499" s="18"/>
      <c r="K499" s="53">
        <f t="shared" si="35"/>
        <v>1345627.5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7025627.5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7025627.5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710000</v>
      </c>
      <c r="G501" s="204"/>
      <c r="H501" s="204"/>
      <c r="I501" s="204"/>
      <c r="J501" s="204"/>
      <c r="K501" s="205">
        <f t="shared" si="35"/>
        <v>710000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276013</v>
      </c>
      <c r="G502" s="18"/>
      <c r="H502" s="18"/>
      <c r="I502" s="18"/>
      <c r="J502" s="18"/>
      <c r="K502" s="53">
        <f t="shared" si="35"/>
        <v>276013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986013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986013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717195.28+164335.06</f>
        <v>881530.34000000008</v>
      </c>
      <c r="G521" s="18">
        <f>175686.79+56070.11+3100.68+735+216+1269.4+314.3+40236.97+12272.65+61061.44+19062.81+1510.12+59154.07</f>
        <v>430690.34</v>
      </c>
      <c r="H521" s="18">
        <f>45242.03+22932+7012.1</f>
        <v>75186.13</v>
      </c>
      <c r="I521" s="18">
        <f>4087.89+128.04+3000+500+2417.12</f>
        <v>10133.049999999999</v>
      </c>
      <c r="J521" s="18">
        <f>2000+554.96+2500+1200+1674.97</f>
        <v>7929.93</v>
      </c>
      <c r="K521" s="18"/>
      <c r="L521" s="88">
        <f>SUM(F521:K521)</f>
        <v>1405469.79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345774.85</v>
      </c>
      <c r="G522" s="18">
        <f>212411.51+3650.65+750+1422.24+48521.2+77509.13+1510.12</f>
        <v>345774.85</v>
      </c>
      <c r="H522" s="18">
        <f>45242.02+14193.12+243008.74</f>
        <v>302443.88</v>
      </c>
      <c r="I522" s="18">
        <f>3348.33+3000+5465.22</f>
        <v>11813.55</v>
      </c>
      <c r="J522" s="18">
        <f>3319.72+2500+1674.98</f>
        <v>7494.6999999999989</v>
      </c>
      <c r="K522" s="18"/>
      <c r="L522" s="88">
        <f>SUM(F522:K522)</f>
        <v>1013301.83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f>78004.82+27544.05+295895.23+1916.5</f>
        <v>403360.6</v>
      </c>
      <c r="I523" s="18"/>
      <c r="J523" s="18">
        <f>500+500</f>
        <v>1000</v>
      </c>
      <c r="K523" s="18"/>
      <c r="L523" s="88">
        <f>SUM(F523:K523)</f>
        <v>404360.6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1227305.19</v>
      </c>
      <c r="G524" s="108">
        <f t="shared" ref="G524:L524" si="36">SUM(G521:G523)</f>
        <v>776465.19</v>
      </c>
      <c r="H524" s="108">
        <f t="shared" si="36"/>
        <v>780990.61</v>
      </c>
      <c r="I524" s="108">
        <f t="shared" si="36"/>
        <v>21946.6</v>
      </c>
      <c r="J524" s="108">
        <f t="shared" si="36"/>
        <v>16424.629999999997</v>
      </c>
      <c r="K524" s="108">
        <f t="shared" si="36"/>
        <v>0</v>
      </c>
      <c r="L524" s="89">
        <f t="shared" si="36"/>
        <v>2823132.22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491982.43</v>
      </c>
      <c r="G526" s="18">
        <v>198226.98</v>
      </c>
      <c r="H526" s="18">
        <v>17110.27</v>
      </c>
      <c r="I526" s="18">
        <v>5149.74</v>
      </c>
      <c r="J526" s="18">
        <v>591.19000000000005</v>
      </c>
      <c r="K526" s="18">
        <v>4485.42</v>
      </c>
      <c r="L526" s="88">
        <f>SUM(F526:K526)</f>
        <v>717546.03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283515.02</v>
      </c>
      <c r="G527" s="18">
        <v>164363.37</v>
      </c>
      <c r="H527" s="18">
        <v>15975</v>
      </c>
      <c r="I527" s="18">
        <v>4494.5200000000004</v>
      </c>
      <c r="J527" s="18">
        <v>69</v>
      </c>
      <c r="K527" s="18">
        <v>4485.42</v>
      </c>
      <c r="L527" s="88">
        <f>SUM(F527:K527)</f>
        <v>472902.33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775497.45</v>
      </c>
      <c r="G529" s="89">
        <f t="shared" ref="G529:L529" si="37">SUM(G526:G528)</f>
        <v>362590.35</v>
      </c>
      <c r="H529" s="89">
        <f t="shared" si="37"/>
        <v>33085.270000000004</v>
      </c>
      <c r="I529" s="89">
        <f t="shared" si="37"/>
        <v>9644.26</v>
      </c>
      <c r="J529" s="89">
        <f t="shared" si="37"/>
        <v>660.19</v>
      </c>
      <c r="K529" s="89">
        <f t="shared" si="37"/>
        <v>8970.84</v>
      </c>
      <c r="L529" s="89">
        <f t="shared" si="37"/>
        <v>1190448.3600000001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128447.54/3</f>
        <v>42815.846666666665</v>
      </c>
      <c r="G531" s="18">
        <f>59530/3</f>
        <v>19843.333333333332</v>
      </c>
      <c r="H531" s="18"/>
      <c r="I531" s="18"/>
      <c r="J531" s="18"/>
      <c r="K531" s="18"/>
      <c r="L531" s="88">
        <f>SUM(F531:K531)</f>
        <v>62659.179999999993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128447.54/3</f>
        <v>42815.846666666665</v>
      </c>
      <c r="G532" s="18">
        <f>59530/3</f>
        <v>19843.333333333332</v>
      </c>
      <c r="H532" s="18"/>
      <c r="I532" s="18"/>
      <c r="J532" s="18"/>
      <c r="K532" s="18"/>
      <c r="L532" s="88">
        <f>SUM(F532:K532)</f>
        <v>62659.179999999993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128447.54/3</f>
        <v>42815.846666666665</v>
      </c>
      <c r="G533" s="18">
        <f>59530/3</f>
        <v>19843.333333333332</v>
      </c>
      <c r="H533" s="18"/>
      <c r="I533" s="18"/>
      <c r="J533" s="18"/>
      <c r="K533" s="18"/>
      <c r="L533" s="88">
        <f>SUM(F533:K533)</f>
        <v>62659.179999999993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128447.54</v>
      </c>
      <c r="G534" s="89">
        <f t="shared" ref="G534:L534" si="38">SUM(G531:G533)</f>
        <v>59530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187977.53999999998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58605.32/3</f>
        <v>19535.106666666667</v>
      </c>
      <c r="I536" s="18"/>
      <c r="J536" s="18"/>
      <c r="K536" s="18"/>
      <c r="L536" s="88">
        <f>SUM(F536:K536)</f>
        <v>19535.106666666667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f>58605.32/3</f>
        <v>19535.106666666667</v>
      </c>
      <c r="I537" s="18"/>
      <c r="J537" s="18"/>
      <c r="K537" s="18"/>
      <c r="L537" s="88">
        <f>SUM(F537:K537)</f>
        <v>19535.106666666667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f>58605.32/3</f>
        <v>19535.106666666667</v>
      </c>
      <c r="I538" s="18"/>
      <c r="J538" s="18"/>
      <c r="K538" s="18"/>
      <c r="L538" s="88">
        <f>SUM(F538:K538)</f>
        <v>19535.106666666667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58605.32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58605.32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51410.92+49260</f>
        <v>100670.92</v>
      </c>
      <c r="I541" s="18"/>
      <c r="J541" s="18"/>
      <c r="K541" s="18"/>
      <c r="L541" s="88">
        <f>SUM(F541:K541)</f>
        <v>100670.92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62237.38</f>
        <v>62237.38</v>
      </c>
      <c r="I542" s="18"/>
      <c r="J542" s="18"/>
      <c r="K542" s="18"/>
      <c r="L542" s="88">
        <f>SUM(F542:K542)</f>
        <v>62237.38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50669.22</f>
        <v>50669.22</v>
      </c>
      <c r="I543" s="18"/>
      <c r="J543" s="18"/>
      <c r="K543" s="18"/>
      <c r="L543" s="88">
        <f>SUM(F543:K543)</f>
        <v>50669.22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213577.52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213577.52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2131250.1799999997</v>
      </c>
      <c r="G545" s="89">
        <f t="shared" ref="G545:L545" si="41">G524+G529+G534+G539+G544</f>
        <v>1198585.54</v>
      </c>
      <c r="H545" s="89">
        <f t="shared" si="41"/>
        <v>1086258.72</v>
      </c>
      <c r="I545" s="89">
        <f t="shared" si="41"/>
        <v>31590.86</v>
      </c>
      <c r="J545" s="89">
        <f t="shared" si="41"/>
        <v>17084.819999999996</v>
      </c>
      <c r="K545" s="89">
        <f t="shared" si="41"/>
        <v>8970.84</v>
      </c>
      <c r="L545" s="89">
        <f t="shared" si="41"/>
        <v>4473740.96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1405469.79</v>
      </c>
      <c r="G549" s="87">
        <f>L526</f>
        <v>717546.03</v>
      </c>
      <c r="H549" s="87">
        <f>L531</f>
        <v>62659.179999999993</v>
      </c>
      <c r="I549" s="87">
        <f>L536</f>
        <v>19535.106666666667</v>
      </c>
      <c r="J549" s="87">
        <f>L541</f>
        <v>100670.92</v>
      </c>
      <c r="K549" s="87">
        <f>SUM(F549:J549)</f>
        <v>2305881.0266666668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1013301.83</v>
      </c>
      <c r="G550" s="87">
        <f>L527</f>
        <v>472902.33</v>
      </c>
      <c r="H550" s="87">
        <f>L532</f>
        <v>62659.179999999993</v>
      </c>
      <c r="I550" s="87">
        <f>L537</f>
        <v>19535.106666666667</v>
      </c>
      <c r="J550" s="87">
        <f>L542</f>
        <v>62237.38</v>
      </c>
      <c r="K550" s="87">
        <f>SUM(F550:J550)</f>
        <v>1630635.8266666664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404360.6</v>
      </c>
      <c r="G551" s="87">
        <f>L528</f>
        <v>0</v>
      </c>
      <c r="H551" s="87">
        <f>L533</f>
        <v>62659.179999999993</v>
      </c>
      <c r="I551" s="87">
        <f>L538</f>
        <v>19535.106666666667</v>
      </c>
      <c r="J551" s="87">
        <f>L543</f>
        <v>50669.22</v>
      </c>
      <c r="K551" s="87">
        <f>SUM(F551:J551)</f>
        <v>537224.10666666669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2823132.22</v>
      </c>
      <c r="G552" s="89">
        <f t="shared" si="42"/>
        <v>1190448.3600000001</v>
      </c>
      <c r="H552" s="89">
        <f t="shared" si="42"/>
        <v>187977.53999999998</v>
      </c>
      <c r="I552" s="89">
        <f t="shared" si="42"/>
        <v>58605.32</v>
      </c>
      <c r="J552" s="89">
        <f t="shared" si="42"/>
        <v>213577.52</v>
      </c>
      <c r="K552" s="89">
        <f t="shared" si="42"/>
        <v>4473740.96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f>2371423.73+759329.77</f>
        <v>3130753.5</v>
      </c>
      <c r="I575" s="87">
        <f>SUM(F575:H575)</f>
        <v>3130753.5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f>1397931.13</f>
        <v>1397931.13</v>
      </c>
      <c r="I577" s="87">
        <f t="shared" si="47"/>
        <v>1397931.13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v>14193.12</v>
      </c>
      <c r="H579" s="18">
        <f>295895.23</f>
        <v>295895.23</v>
      </c>
      <c r="I579" s="87">
        <f t="shared" si="47"/>
        <v>310088.34999999998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27544.05</v>
      </c>
      <c r="I581" s="87">
        <f t="shared" si="47"/>
        <v>27544.05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22932</v>
      </c>
      <c r="G582" s="18">
        <v>243008.74</v>
      </c>
      <c r="H582" s="18">
        <v>78004.820000000007</v>
      </c>
      <c r="I582" s="87">
        <f t="shared" si="47"/>
        <v>343945.56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209430</f>
        <v>209430</v>
      </c>
      <c r="I591" s="18">
        <f>209430</f>
        <v>209430</v>
      </c>
      <c r="J591" s="18">
        <f>167544</f>
        <v>167544</v>
      </c>
      <c r="K591" s="104">
        <f t="shared" ref="K591:K597" si="48">SUM(H591:J591)</f>
        <v>586404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51410.92+49260</f>
        <v>100670.92</v>
      </c>
      <c r="I592" s="18">
        <f>62237.38</f>
        <v>62237.38</v>
      </c>
      <c r="J592" s="18">
        <v>50669.22</v>
      </c>
      <c r="K592" s="104">
        <f t="shared" si="48"/>
        <v>213577.52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5879.64</v>
      </c>
      <c r="J594" s="18"/>
      <c r="K594" s="104">
        <f t="shared" si="48"/>
        <v>5879.64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3723.87+985.94</f>
        <v>4709.8099999999995</v>
      </c>
      <c r="I595" s="18">
        <f>8986.65</f>
        <v>8986.65</v>
      </c>
      <c r="J595" s="18"/>
      <c r="K595" s="104">
        <f t="shared" si="48"/>
        <v>13696.46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1466.25</v>
      </c>
      <c r="I597" s="18">
        <v>1466.25</v>
      </c>
      <c r="J597" s="18"/>
      <c r="K597" s="104">
        <f t="shared" si="48"/>
        <v>2932.5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316276.98</v>
      </c>
      <c r="I598" s="108">
        <f>SUM(I591:I597)</f>
        <v>287999.92000000004</v>
      </c>
      <c r="J598" s="108">
        <f>SUM(J591:J597)</f>
        <v>218213.22</v>
      </c>
      <c r="K598" s="108">
        <f>SUM(K591:K597)</f>
        <v>822490.12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84194.82+14914.95</f>
        <v>99109.77</v>
      </c>
      <c r="I604" s="18">
        <v>50768.03</v>
      </c>
      <c r="J604" s="18">
        <v>1702.42</v>
      </c>
      <c r="K604" s="104">
        <f>SUM(H604:J604)</f>
        <v>151580.22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99109.77</v>
      </c>
      <c r="I605" s="108">
        <f>SUM(I602:I604)</f>
        <v>50768.03</v>
      </c>
      <c r="J605" s="108">
        <f>SUM(J602:J604)</f>
        <v>1702.42</v>
      </c>
      <c r="K605" s="108">
        <f>SUM(K602:K604)</f>
        <v>151580.22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28544.5</v>
      </c>
      <c r="G611" s="18">
        <f>2432.29</f>
        <v>2432.29</v>
      </c>
      <c r="H611" s="18"/>
      <c r="I611" s="18"/>
      <c r="J611" s="18"/>
      <c r="K611" s="18"/>
      <c r="L611" s="88">
        <f>SUM(F611:K611)</f>
        <v>30976.79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28544.5</v>
      </c>
      <c r="G614" s="108">
        <f t="shared" si="49"/>
        <v>2432.29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30976.79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2254992.0799999996</v>
      </c>
      <c r="H617" s="109">
        <f>SUM(F52)</f>
        <v>2254992.08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593335.23</v>
      </c>
      <c r="H619" s="109">
        <f>SUM(H52)</f>
        <v>593335.23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758062.62</v>
      </c>
      <c r="H621" s="109">
        <f>SUM(J52)</f>
        <v>758062.62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1192964.68</v>
      </c>
      <c r="H622" s="109">
        <f>F476</f>
        <v>1192964.6799999997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593335.23</v>
      </c>
      <c r="H624" s="109">
        <f>H476</f>
        <v>593335.23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758062.62</v>
      </c>
      <c r="H626" s="109">
        <f>J476</f>
        <v>758062.61999999988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18928283.259999998</v>
      </c>
      <c r="H627" s="104">
        <f>SUM(F468)</f>
        <v>18928283.260000002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297889.33999999997</v>
      </c>
      <c r="H628" s="104">
        <f>SUM(G468)</f>
        <v>297889.34000000003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430849.80000000005</v>
      </c>
      <c r="H629" s="104">
        <f>SUM(H468)</f>
        <v>430849.8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710213.79</v>
      </c>
      <c r="H631" s="104">
        <f>SUM(J468)</f>
        <v>710213.79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19032877.850000001</v>
      </c>
      <c r="H632" s="104">
        <f>SUM(F472)</f>
        <v>19032877.850000001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417408.84</v>
      </c>
      <c r="H633" s="104">
        <f>SUM(H472)</f>
        <v>417408.84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302292.99</v>
      </c>
      <c r="H635" s="104">
        <f>SUM(G472)</f>
        <v>302292.99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710213.79</v>
      </c>
      <c r="H637" s="164">
        <f>SUM(J468)</f>
        <v>710213.79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430224.3</v>
      </c>
      <c r="H638" s="164">
        <f>SUM(J472)</f>
        <v>430224.3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758062.62</v>
      </c>
      <c r="H639" s="104">
        <f>SUM(F461)</f>
        <v>758062.62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758062.62</v>
      </c>
      <c r="H642" s="104">
        <f>SUM(I461)</f>
        <v>758062.62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213.79</v>
      </c>
      <c r="H644" s="104">
        <f>H408</f>
        <v>213.79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710000</v>
      </c>
      <c r="H645" s="104">
        <f>G408</f>
        <v>710000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710213.79</v>
      </c>
      <c r="H646" s="104">
        <f>L408</f>
        <v>710213.79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822490.12</v>
      </c>
      <c r="H647" s="104">
        <f>L208+L226+L244</f>
        <v>822490.12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151580.22</v>
      </c>
      <c r="H648" s="104">
        <f>(J257+J338)-(J255+J336)</f>
        <v>151580.22000000003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316276.98</v>
      </c>
      <c r="H649" s="104">
        <f>H598</f>
        <v>316276.98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287999.92000000004</v>
      </c>
      <c r="H650" s="104">
        <f>I598</f>
        <v>287999.92000000004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218213.22</v>
      </c>
      <c r="H651" s="104">
        <f>J598</f>
        <v>218213.22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4682.87</v>
      </c>
      <c r="H652" s="104">
        <f>K263+K345</f>
        <v>4682.87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710000</v>
      </c>
      <c r="H655" s="104">
        <f>K266+K347</f>
        <v>710000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6886066.6999999993</v>
      </c>
      <c r="G660" s="19">
        <f>(L229+L309+L359)</f>
        <v>5713103.8700000001</v>
      </c>
      <c r="H660" s="19">
        <f>(L247+L328+L360)</f>
        <v>5381731.1199999992</v>
      </c>
      <c r="I660" s="19">
        <f>SUM(F660:H660)</f>
        <v>17980901.689999998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96888.548205120474</v>
      </c>
      <c r="G661" s="19">
        <f>(L359/IF(SUM(L358:L360)=0,1,SUM(L358:L360))*(SUM(G97:G110)))</f>
        <v>96888.541794879522</v>
      </c>
      <c r="H661" s="19">
        <f>(L360/IF(SUM(L358:L360)=0,1,SUM(L358:L360))*(SUM(G97:G110)))</f>
        <v>0</v>
      </c>
      <c r="I661" s="19">
        <f>SUM(F661:H661)</f>
        <v>193777.09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316276.98</v>
      </c>
      <c r="G662" s="19">
        <f>(L226+L306)-(J226+J306)</f>
        <v>287999.92000000004</v>
      </c>
      <c r="H662" s="19">
        <f>(L244+L325)-(J244+J325)</f>
        <v>218213.22</v>
      </c>
      <c r="I662" s="19">
        <f>SUM(F662:H662)</f>
        <v>822490.12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153018.56</v>
      </c>
      <c r="G663" s="199">
        <f>SUM(G575:G587)+SUM(I602:I604)+L612</f>
        <v>307969.89</v>
      </c>
      <c r="H663" s="199">
        <f>SUM(H575:H587)+SUM(J602:J604)+L613</f>
        <v>4931831.1499999994</v>
      </c>
      <c r="I663" s="19">
        <f>SUM(F663:H663)</f>
        <v>5392819.5999999996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6319882.6117948787</v>
      </c>
      <c r="G664" s="19">
        <f>G660-SUM(G661:G663)</f>
        <v>5020245.5182051202</v>
      </c>
      <c r="H664" s="19">
        <f>H660-SUM(H661:H663)</f>
        <v>231686.75</v>
      </c>
      <c r="I664" s="19">
        <f>I660-SUM(I661:I663)</f>
        <v>11571814.879999999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519.35</v>
      </c>
      <c r="G665" s="248">
        <v>429.47</v>
      </c>
      <c r="H665" s="248"/>
      <c r="I665" s="19">
        <f>SUM(F665:H665)</f>
        <v>948.82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12168.83</v>
      </c>
      <c r="G667" s="19">
        <f>ROUND(G664/G665,2)</f>
        <v>11689.4</v>
      </c>
      <c r="H667" s="19" t="e">
        <f>ROUND(H664/H665,2)</f>
        <v>#DIV/0!</v>
      </c>
      <c r="I667" s="19">
        <f>ROUND(I664/I665,2)</f>
        <v>12196.01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-231686.75</v>
      </c>
      <c r="I669" s="19">
        <f>SUM(F669:H669)</f>
        <v>-231686.75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12168.83</v>
      </c>
      <c r="G672" s="19">
        <f>ROUND((G664+G669)/(G665+G670),2)</f>
        <v>11689.4</v>
      </c>
      <c r="H672" s="19" t="e">
        <f>ROUND((H664+H669)/(H665+H670),2)</f>
        <v>#DIV/0!</v>
      </c>
      <c r="I672" s="19">
        <f>ROUND((I664+I669)/(I665+I670),2)</f>
        <v>11951.82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75" orientation="landscape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150" zoomScaleNormal="150" zoomScalePageLayoutView="150" workbookViewId="0">
      <selection activeCell="C29" sqref="C29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785</v>
      </c>
      <c r="B1" s="232" t="str">
        <f>'DOE25'!A2</f>
        <v>Barrington SD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3124131.52</v>
      </c>
      <c r="C9" s="229">
        <f>'DOE25'!G197+'DOE25'!G215+'DOE25'!G233+'DOE25'!G276+'DOE25'!G295+'DOE25'!G314</f>
        <v>1420831.05</v>
      </c>
    </row>
    <row r="10" spans="1:3" x14ac:dyDescent="0.2">
      <c r="A10" t="s">
        <v>779</v>
      </c>
      <c r="B10" s="240">
        <f>1137797.7+263710.16+1228930.45+43313.86</f>
        <v>2673752.1699999995</v>
      </c>
      <c r="C10" s="240">
        <f>175686.79+56070.11+212411.51+40236.97+12272.65+48521.2+61061.44+19062.81+77509.13+680002.82</f>
        <v>1382835.43</v>
      </c>
    </row>
    <row r="11" spans="1:3" x14ac:dyDescent="0.2">
      <c r="A11" t="s">
        <v>780</v>
      </c>
      <c r="B11" s="240">
        <f>90881.01+14842+64318.8</f>
        <v>170041.81</v>
      </c>
      <c r="C11" s="240">
        <f>3100.68+3650.65+735+216+750+587.95+57.37+84.75+11076.68+75+131.48+5011.44+7080.39</f>
        <v>32557.39</v>
      </c>
    </row>
    <row r="12" spans="1:3" x14ac:dyDescent="0.2">
      <c r="A12" t="s">
        <v>781</v>
      </c>
      <c r="B12" s="240">
        <f>127940.62+12248+48266.5+13526.5+45782.36+1000+750+19283.56+1190+10350</f>
        <v>280337.53999999998</v>
      </c>
      <c r="C12" s="240">
        <f>1269.4+314.3+1422.24+2432.29</f>
        <v>5438.23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3124131.5199999996</v>
      </c>
      <c r="C13" s="231">
        <f>SUM(C10:C12)</f>
        <v>1420831.0499999998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1531392.9100000001</v>
      </c>
      <c r="C18" s="229">
        <f>'DOE25'!G198+'DOE25'!G216+'DOE25'!G234+'DOE25'!G277+'DOE25'!G296+'DOE25'!G315</f>
        <v>776465.19</v>
      </c>
    </row>
    <row r="19" spans="1:3" x14ac:dyDescent="0.2">
      <c r="A19" t="s">
        <v>779</v>
      </c>
      <c r="B19" s="240">
        <f>221897.93+33199.92+299640.98+147410.06+16925+26640</f>
        <v>745713.8899999999</v>
      </c>
      <c r="C19" s="240">
        <f>175686.79+56070.11+3100.68+3650.65+735+216+40236.97+12272.65+61061.44+19062.81+24452.89+11276.87</f>
        <v>407822.86000000004</v>
      </c>
    </row>
    <row r="20" spans="1:3" x14ac:dyDescent="0.2">
      <c r="A20" t="s">
        <v>780</v>
      </c>
      <c r="B20" s="240">
        <f>280237.1+104375.04+321122.05</f>
        <v>705734.19</v>
      </c>
      <c r="C20" s="240">
        <f>212411.51+216+750+48521.2+77509.13+1218.1+16657.34</f>
        <v>357283.28</v>
      </c>
    </row>
    <row r="21" spans="1:3" x14ac:dyDescent="0.2">
      <c r="A21" t="s">
        <v>781</v>
      </c>
      <c r="B21" s="240">
        <f>28544.5+3492+1644+1439+4816.58+10342.5+18686.25+10980</f>
        <v>79944.83</v>
      </c>
      <c r="C21" s="240">
        <f>1269.4+314.3+1422.24+2432.29+587.95+2000+1166.58+90+18+322.55+39.21+1912.53-216</f>
        <v>11359.049999999997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1531392.91</v>
      </c>
      <c r="C22" s="231">
        <f>SUM(C19:C21)</f>
        <v>776465.19000000018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 t="s">
        <v>287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40700</v>
      </c>
      <c r="C36" s="235">
        <f>'DOE25'!G200+'DOE25'!G218+'DOE25'!G236+'DOE25'!G279+'DOE25'!G298+'DOE25'!G317</f>
        <v>7383.19</v>
      </c>
    </row>
    <row r="37" spans="1:3" x14ac:dyDescent="0.2">
      <c r="A37" t="s">
        <v>779</v>
      </c>
      <c r="B37" s="240">
        <v>40700</v>
      </c>
      <c r="C37" s="240">
        <v>7383.19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40700</v>
      </c>
      <c r="C40" s="231">
        <f>SUM(C37:C39)</f>
        <v>7383.19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/>
  <headerFooter alignWithMargins="0">
    <oddHeader>&amp;C&amp;A
FY2013-2014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zoomScale="125" zoomScaleNormal="125" zoomScalePageLayoutView="125" workbookViewId="0">
      <pane ySplit="4" topLeftCell="A9" activePane="bottomLeft" state="frozen"/>
      <selection activeCell="F46" sqref="F46"/>
      <selection pane="bottomLeft" activeCell="D12" sqref="D12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Barrington SD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12002336.07</v>
      </c>
      <c r="D5" s="20">
        <f>SUM('DOE25'!L197:L200)+SUM('DOE25'!L215:L218)+SUM('DOE25'!L233:L236)-F5-G5</f>
        <v>11978888.84</v>
      </c>
      <c r="E5" s="243"/>
      <c r="F5" s="255">
        <f>SUM('DOE25'!J197:J200)+SUM('DOE25'!J215:J218)+SUM('DOE25'!J233:J236)</f>
        <v>18161.350000000002</v>
      </c>
      <c r="G5" s="53">
        <f>SUM('DOE25'!K197:K200)+SUM('DOE25'!K215:K218)+SUM('DOE25'!K233:K236)</f>
        <v>5285.88</v>
      </c>
      <c r="H5" s="259"/>
    </row>
    <row r="6" spans="1:9" x14ac:dyDescent="0.2">
      <c r="A6" s="32">
        <v>2100</v>
      </c>
      <c r="B6" t="s">
        <v>801</v>
      </c>
      <c r="C6" s="245">
        <f t="shared" si="0"/>
        <v>1190448.3699999999</v>
      </c>
      <c r="D6" s="20">
        <f>'DOE25'!L202+'DOE25'!L220+'DOE25'!L238-F6-G6</f>
        <v>1180817.3299999998</v>
      </c>
      <c r="E6" s="243"/>
      <c r="F6" s="255">
        <f>'DOE25'!J202+'DOE25'!J220+'DOE25'!J238</f>
        <v>660.19</v>
      </c>
      <c r="G6" s="53">
        <f>'DOE25'!K202+'DOE25'!K220+'DOE25'!K238</f>
        <v>8970.85</v>
      </c>
      <c r="H6" s="259"/>
    </row>
    <row r="7" spans="1:9" x14ac:dyDescent="0.2">
      <c r="A7" s="32">
        <v>2200</v>
      </c>
      <c r="B7" t="s">
        <v>834</v>
      </c>
      <c r="C7" s="245">
        <f t="shared" si="0"/>
        <v>630700.64</v>
      </c>
      <c r="D7" s="20">
        <f>'DOE25'!L203+'DOE25'!L221+'DOE25'!L239-F7-G7</f>
        <v>521385.31999999995</v>
      </c>
      <c r="E7" s="243"/>
      <c r="F7" s="255">
        <f>'DOE25'!J203+'DOE25'!J221+'DOE25'!J239</f>
        <v>91970.92</v>
      </c>
      <c r="G7" s="53">
        <f>'DOE25'!K203+'DOE25'!K221+'DOE25'!K239</f>
        <v>17344.400000000001</v>
      </c>
      <c r="H7" s="259"/>
    </row>
    <row r="8" spans="1:9" x14ac:dyDescent="0.2">
      <c r="A8" s="32">
        <v>2300</v>
      </c>
      <c r="B8" t="s">
        <v>802</v>
      </c>
      <c r="C8" s="245">
        <f t="shared" si="0"/>
        <v>90736.959999999963</v>
      </c>
      <c r="D8" s="243"/>
      <c r="E8" s="20">
        <f>'DOE25'!L204+'DOE25'!L222+'DOE25'!L240-F8-G8-D9-D11</f>
        <v>72075.459999999963</v>
      </c>
      <c r="F8" s="255">
        <f>'DOE25'!J204+'DOE25'!J222+'DOE25'!J240</f>
        <v>2107.2599999999998</v>
      </c>
      <c r="G8" s="53">
        <f>'DOE25'!K204+'DOE25'!K222+'DOE25'!K240</f>
        <v>16554.239999999998</v>
      </c>
      <c r="H8" s="259"/>
    </row>
    <row r="9" spans="1:9" x14ac:dyDescent="0.2">
      <c r="A9" s="32">
        <v>2310</v>
      </c>
      <c r="B9" t="s">
        <v>818</v>
      </c>
      <c r="C9" s="245">
        <f t="shared" si="0"/>
        <v>91683.95</v>
      </c>
      <c r="D9" s="244">
        <v>91683.95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10000</v>
      </c>
      <c r="D10" s="243"/>
      <c r="E10" s="244">
        <v>10000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343199.94</v>
      </c>
      <c r="D11" s="244">
        <v>343199.94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795642.87999999989</v>
      </c>
      <c r="D12" s="20">
        <f>'DOE25'!L205+'DOE25'!L223+'DOE25'!L241-F12-G12</f>
        <v>773057.72999999986</v>
      </c>
      <c r="E12" s="243"/>
      <c r="F12" s="255">
        <f>'DOE25'!J205+'DOE25'!J223+'DOE25'!J241</f>
        <v>21065.55</v>
      </c>
      <c r="G12" s="53">
        <f>'DOE25'!K205+'DOE25'!K223+'DOE25'!K241</f>
        <v>1519.6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165797.16</v>
      </c>
      <c r="D13" s="243"/>
      <c r="E13" s="20">
        <f>'DOE25'!L206+'DOE25'!L224+'DOE25'!L242-F13-G13</f>
        <v>165797.16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1133800.77</v>
      </c>
      <c r="D14" s="20">
        <f>'DOE25'!L207+'DOE25'!L225+'DOE25'!L243-F14-G14</f>
        <v>1131100.77</v>
      </c>
      <c r="E14" s="243"/>
      <c r="F14" s="255">
        <f>'DOE25'!J207+'DOE25'!J225+'DOE25'!J243</f>
        <v>2700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822490.12</v>
      </c>
      <c r="D15" s="20">
        <f>'DOE25'!L208+'DOE25'!L226+'DOE25'!L244-F15-G15</f>
        <v>822490.12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36058.120000000003</v>
      </c>
      <c r="D22" s="243"/>
      <c r="E22" s="243"/>
      <c r="F22" s="255">
        <f>'DOE25'!L255+'DOE25'!L336</f>
        <v>36058.120000000003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1015300</v>
      </c>
      <c r="D25" s="243"/>
      <c r="E25" s="243"/>
      <c r="F25" s="258"/>
      <c r="G25" s="256"/>
      <c r="H25" s="257">
        <f>'DOE25'!L260+'DOE25'!L261+'DOE25'!L341+'DOE25'!L342</f>
        <v>1015300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302292.99</v>
      </c>
      <c r="D29" s="20">
        <f>'DOE25'!L358+'DOE25'!L359+'DOE25'!L360-'DOE25'!I367-F29-G29</f>
        <v>293642</v>
      </c>
      <c r="E29" s="243"/>
      <c r="F29" s="255">
        <f>'DOE25'!J358+'DOE25'!J359+'DOE25'!J360</f>
        <v>0</v>
      </c>
      <c r="G29" s="53">
        <f>'DOE25'!K358+'DOE25'!K359+'DOE25'!K360</f>
        <v>8650.99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411771.84</v>
      </c>
      <c r="D31" s="20">
        <f>'DOE25'!L290+'DOE25'!L309+'DOE25'!L328+'DOE25'!L333+'DOE25'!L334+'DOE25'!L335-F31-G31</f>
        <v>396856.89</v>
      </c>
      <c r="E31" s="243"/>
      <c r="F31" s="255">
        <f>'DOE25'!J290+'DOE25'!J309+'DOE25'!J328+'DOE25'!J333+'DOE25'!J334+'DOE25'!J335</f>
        <v>14914.95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17533122.890000001</v>
      </c>
      <c r="E33" s="246">
        <f>SUM(E5:E31)</f>
        <v>247872.61999999997</v>
      </c>
      <c r="F33" s="246">
        <f>SUM(F5:F31)</f>
        <v>187638.34</v>
      </c>
      <c r="G33" s="246">
        <f>SUM(G5:G31)</f>
        <v>58325.959999999992</v>
      </c>
      <c r="H33" s="246">
        <f>SUM(H5:H31)</f>
        <v>1015300</v>
      </c>
    </row>
    <row r="35" spans="2:8" ht="12" thickBot="1" x14ac:dyDescent="0.25">
      <c r="B35" s="253" t="s">
        <v>847</v>
      </c>
      <c r="D35" s="254">
        <f>E33</f>
        <v>247872.61999999997</v>
      </c>
      <c r="E35" s="249"/>
    </row>
    <row r="36" spans="2:8" ht="12" thickTop="1" x14ac:dyDescent="0.2">
      <c r="B36" t="s">
        <v>815</v>
      </c>
      <c r="D36" s="20">
        <f>D33</f>
        <v>17533122.890000001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zoomScalePageLayoutView="80" workbookViewId="0">
      <pane ySplit="2" topLeftCell="A3" activePane="bottomLeft" state="frozen"/>
      <selection activeCell="F46" sqref="F46"/>
      <selection pane="bottomLeft" activeCell="C45" sqref="C45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Barrington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2094939.93</v>
      </c>
      <c r="D8" s="95">
        <f>'DOE25'!G9</f>
        <v>0</v>
      </c>
      <c r="E8" s="95">
        <f>'DOE25'!H9</f>
        <v>593335.23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6964.31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758062.62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153087.84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2254992.0799999996</v>
      </c>
      <c r="D18" s="41">
        <f>SUM(D8:D17)</f>
        <v>0</v>
      </c>
      <c r="E18" s="41">
        <f>SUM(E8:E17)</f>
        <v>593335.23</v>
      </c>
      <c r="F18" s="41">
        <f>SUM(F8:F17)</f>
        <v>0</v>
      </c>
      <c r="G18" s="41">
        <f>SUM(G8:G17)</f>
        <v>758062.62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76543.92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391857.72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593625.76</v>
      </c>
      <c r="D27" s="95" t="str">
        <f>'DOE25'!G28</f>
        <v xml:space="preserve"> 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 t="str">
        <f>'DOE25'!G29</f>
        <v xml:space="preserve"> 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1062027.3999999999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798333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758062.62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593335.23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394631.67999999999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1192964.68</v>
      </c>
      <c r="D50" s="41">
        <f>SUM(D34:D49)</f>
        <v>0</v>
      </c>
      <c r="E50" s="41">
        <f>SUM(E34:E49)</f>
        <v>593335.23</v>
      </c>
      <c r="F50" s="41">
        <f>SUM(F34:F49)</f>
        <v>0</v>
      </c>
      <c r="G50" s="41">
        <f>SUM(G34:G49)</f>
        <v>758062.62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2254992.08</v>
      </c>
      <c r="D51" s="41">
        <f>D50+D31</f>
        <v>0</v>
      </c>
      <c r="E51" s="41">
        <f>E50+E31</f>
        <v>593335.23</v>
      </c>
      <c r="F51" s="41">
        <f>F50+F31</f>
        <v>0</v>
      </c>
      <c r="G51" s="41">
        <f>G50+G31</f>
        <v>758062.62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11936249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121934.45999999999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213.79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193777.09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98588.800000000003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220523.26</v>
      </c>
      <c r="D62" s="130">
        <f>SUM(D57:D61)</f>
        <v>193777.09</v>
      </c>
      <c r="E62" s="130">
        <f>SUM(E57:E61)</f>
        <v>0</v>
      </c>
      <c r="F62" s="130">
        <f>SUM(F57:F61)</f>
        <v>0</v>
      </c>
      <c r="G62" s="130">
        <f>SUM(G57:G61)</f>
        <v>213.79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12156772.26</v>
      </c>
      <c r="D63" s="22">
        <f>D56+D62</f>
        <v>193777.09</v>
      </c>
      <c r="E63" s="22">
        <f>E56+E62</f>
        <v>0</v>
      </c>
      <c r="F63" s="22">
        <f>F56+F62</f>
        <v>0</v>
      </c>
      <c r="G63" s="22">
        <f>G56+G62</f>
        <v>213.79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4183255.79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1997078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6180333.79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231529.28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163272.35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4267.13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394801.63</v>
      </c>
      <c r="D78" s="130">
        <f>SUM(D72:D77)</f>
        <v>4267.13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6575135.4199999999</v>
      </c>
      <c r="D81" s="130">
        <f>SUM(D79:D80)+D78+D70</f>
        <v>4267.13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190738.58</v>
      </c>
      <c r="D88" s="95">
        <f>SUM('DOE25'!G153:G161)</f>
        <v>95162.25</v>
      </c>
      <c r="E88" s="95">
        <f>SUM('DOE25'!H153:H161)</f>
        <v>430849.80000000005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190738.58</v>
      </c>
      <c r="D91" s="131">
        <f>SUM(D85:D90)</f>
        <v>95162.25</v>
      </c>
      <c r="E91" s="131">
        <f>SUM(E85:E90)</f>
        <v>430849.80000000005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4682.87</v>
      </c>
      <c r="E96" s="95">
        <f>'DOE25'!H179</f>
        <v>0</v>
      </c>
      <c r="F96" s="95">
        <f>'DOE25'!I179</f>
        <v>0</v>
      </c>
      <c r="G96" s="95">
        <f>'DOE25'!J179</f>
        <v>710000</v>
      </c>
    </row>
    <row r="97" spans="1:7" x14ac:dyDescent="0.2">
      <c r="A97" t="s">
        <v>758</v>
      </c>
      <c r="B97" s="32" t="s">
        <v>188</v>
      </c>
      <c r="C97" s="95">
        <f>SUM('DOE25'!F180:F181)</f>
        <v>5637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5637</v>
      </c>
      <c r="D103" s="86">
        <f>SUM(D93:D102)</f>
        <v>4682.87</v>
      </c>
      <c r="E103" s="86">
        <f>SUM(E93:E102)</f>
        <v>0</v>
      </c>
      <c r="F103" s="86">
        <f>SUM(F93:F102)</f>
        <v>0</v>
      </c>
      <c r="G103" s="86">
        <f>SUM(G93:G102)</f>
        <v>710000</v>
      </c>
    </row>
    <row r="104" spans="1:7" ht="12.75" thickTop="1" thickBot="1" x14ac:dyDescent="0.25">
      <c r="A104" s="33" t="s">
        <v>765</v>
      </c>
      <c r="C104" s="86">
        <f>C63+C81+C91+C103</f>
        <v>18928283.259999998</v>
      </c>
      <c r="D104" s="86">
        <f>D63+D81+D91+D103</f>
        <v>297889.33999999997</v>
      </c>
      <c r="E104" s="86">
        <f>E63+E81+E91+E103</f>
        <v>430849.80000000005</v>
      </c>
      <c r="F104" s="86">
        <f>F63+F81+F91+F103</f>
        <v>0</v>
      </c>
      <c r="G104" s="86">
        <f>G63+G81+G103</f>
        <v>710213.79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9054228.9199999999</v>
      </c>
      <c r="D109" s="24" t="s">
        <v>289</v>
      </c>
      <c r="E109" s="95">
        <f>('DOE25'!L276)+('DOE25'!L295)+('DOE25'!L314)</f>
        <v>173388.27000000002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2888836.37</v>
      </c>
      <c r="D110" s="24" t="s">
        <v>289</v>
      </c>
      <c r="E110" s="95">
        <f>('DOE25'!L277)+('DOE25'!L296)+('DOE25'!L315)</f>
        <v>238383.57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59270.78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12002336.069999998</v>
      </c>
      <c r="D115" s="86">
        <f>SUM(D109:D114)</f>
        <v>0</v>
      </c>
      <c r="E115" s="86">
        <f>SUM(E109:E114)</f>
        <v>411771.84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1190448.3699999999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630700.64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525620.85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795642.87999999989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165797.16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1133800.77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822490.12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302292.99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5264500.79</v>
      </c>
      <c r="D128" s="86">
        <f>SUM(D118:D127)</f>
        <v>302292.99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36058.120000000003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710000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305300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5637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4682.87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710213.79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-213.79000000003725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1766040.9900000002</v>
      </c>
      <c r="D144" s="141">
        <f>SUM(D130:D143)</f>
        <v>0</v>
      </c>
      <c r="E144" s="141">
        <f>SUM(E130:E143)</f>
        <v>5637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19032877.850000001</v>
      </c>
      <c r="D145" s="86">
        <f>(D115+D128+D144)</f>
        <v>302292.99</v>
      </c>
      <c r="E145" s="86">
        <f>(E115+E128+E144)</f>
        <v>417408.84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10/22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14144129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6390000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6390000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710000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710000</v>
      </c>
    </row>
    <row r="159" spans="1:9" x14ac:dyDescent="0.2">
      <c r="A159" s="22" t="s">
        <v>35</v>
      </c>
      <c r="B159" s="137">
        <f>'DOE25'!F498</f>
        <v>5680000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5680000</v>
      </c>
    </row>
    <row r="160" spans="1:9" x14ac:dyDescent="0.2">
      <c r="A160" s="22" t="s">
        <v>36</v>
      </c>
      <c r="B160" s="137">
        <f>'DOE25'!F499</f>
        <v>1345627.5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1345627.5</v>
      </c>
    </row>
    <row r="161" spans="1:7" x14ac:dyDescent="0.2">
      <c r="A161" s="22" t="s">
        <v>37</v>
      </c>
      <c r="B161" s="137">
        <f>'DOE25'!F500</f>
        <v>7025627.5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7025627.5</v>
      </c>
    </row>
    <row r="162" spans="1:7" x14ac:dyDescent="0.2">
      <c r="A162" s="22" t="s">
        <v>38</v>
      </c>
      <c r="B162" s="137">
        <f>'DOE25'!F501</f>
        <v>710000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710000</v>
      </c>
    </row>
    <row r="163" spans="1:7" x14ac:dyDescent="0.2">
      <c r="A163" s="22" t="s">
        <v>39</v>
      </c>
      <c r="B163" s="137">
        <f>'DOE25'!F502</f>
        <v>276013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276013</v>
      </c>
    </row>
    <row r="164" spans="1:7" x14ac:dyDescent="0.2">
      <c r="A164" s="22" t="s">
        <v>246</v>
      </c>
      <c r="B164" s="137">
        <f>'DOE25'!F503</f>
        <v>986013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986013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80" orientation="landscape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Barrington SD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12169</v>
      </c>
    </row>
    <row r="5" spans="1:4" x14ac:dyDescent="0.2">
      <c r="B5" t="s">
        <v>704</v>
      </c>
      <c r="C5" s="179">
        <f>IF('DOE25'!G665+'DOE25'!G670=0,0,ROUND('DOE25'!G672,0))</f>
        <v>11689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11952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9227617</v>
      </c>
      <c r="D10" s="182">
        <f>ROUND((C10/$C$28)*100,1)</f>
        <v>51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3127220</v>
      </c>
      <c r="D11" s="182">
        <f>ROUND((C11/$C$28)*100,1)</f>
        <v>17.3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59271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1190448</v>
      </c>
      <c r="D15" s="182">
        <f t="shared" ref="D15:D27" si="0">ROUND((C15/$C$28)*100,1)</f>
        <v>6.6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630701</v>
      </c>
      <c r="D16" s="182">
        <f t="shared" si="0"/>
        <v>3.5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525621</v>
      </c>
      <c r="D17" s="182">
        <f t="shared" si="0"/>
        <v>2.9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795643</v>
      </c>
      <c r="D18" s="182">
        <f t="shared" si="0"/>
        <v>4.4000000000000004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165797</v>
      </c>
      <c r="D19" s="182">
        <f t="shared" si="0"/>
        <v>0.9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1133801</v>
      </c>
      <c r="D20" s="182">
        <f t="shared" si="0"/>
        <v>6.3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822490</v>
      </c>
      <c r="D21" s="182">
        <f t="shared" si="0"/>
        <v>4.5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305300</v>
      </c>
      <c r="D25" s="182">
        <f t="shared" si="0"/>
        <v>1.7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108515.91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18092424.91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36058</v>
      </c>
    </row>
    <row r="30" spans="1:4" x14ac:dyDescent="0.2">
      <c r="B30" s="187" t="s">
        <v>729</v>
      </c>
      <c r="C30" s="180">
        <f>SUM(C28:C29)</f>
        <v>18128482.91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710000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11936249</v>
      </c>
      <c r="D35" s="182">
        <f t="shared" ref="D35:D40" si="1">ROUND((C35/$C$41)*100,1)</f>
        <v>61.4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220737.05000000075</v>
      </c>
      <c r="D36" s="182">
        <f t="shared" si="1"/>
        <v>1.1000000000000001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6180334</v>
      </c>
      <c r="D37" s="182">
        <f t="shared" si="1"/>
        <v>31.8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399069</v>
      </c>
      <c r="D38" s="182">
        <f t="shared" si="1"/>
        <v>2.1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716751</v>
      </c>
      <c r="D39" s="182">
        <f t="shared" si="1"/>
        <v>3.7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19453140.050000001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zoomScale="150" zoomScaleNormal="150" zoomScalePageLayoutView="150" workbookViewId="0">
      <pane ySplit="3" topLeftCell="A4" activePane="bottomLeft" state="frozen"/>
      <selection activeCell="F46" sqref="F46"/>
      <selection pane="bottomLeft" activeCell="C5" sqref="C5:M5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Barrington SD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 t="s">
        <v>913</v>
      </c>
      <c r="B4" s="219" t="s">
        <v>914</v>
      </c>
      <c r="C4" s="297" t="s">
        <v>915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 t="s">
        <v>287</v>
      </c>
      <c r="C6" s="297" t="s">
        <v>287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/>
  <headerFooter alignWithMargins="0">
    <oddHeader>&amp;LDistrict Notes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2014-09-02T17:46:02Z</cp:lastPrinted>
  <dcterms:created xsi:type="dcterms:W3CDTF">1997-12-04T19:04:30Z</dcterms:created>
  <dcterms:modified xsi:type="dcterms:W3CDTF">2014-09-23T17:12:31Z</dcterms:modified>
</cp:coreProperties>
</file>