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604" i="1" l="1"/>
  <c r="K604" i="1"/>
  <c r="G472" i="1"/>
  <c r="G468" i="1"/>
  <c r="H468" i="1"/>
  <c r="J358" i="1"/>
  <c r="F29" i="13"/>
  <c r="H200" i="1"/>
  <c r="G200" i="1"/>
  <c r="L200" i="1" s="1"/>
  <c r="C13" i="10" s="1"/>
  <c r="F9" i="1"/>
  <c r="F19" i="1" s="1"/>
  <c r="G617" i="1" s="1"/>
  <c r="C45" i="2"/>
  <c r="C50" i="2"/>
  <c r="G51" i="1"/>
  <c r="F51" i="1"/>
  <c r="G622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I458" i="1"/>
  <c r="J39" i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F16" i="13"/>
  <c r="G16" i="13"/>
  <c r="L209" i="1"/>
  <c r="L227" i="1"/>
  <c r="L245" i="1"/>
  <c r="E16" i="13"/>
  <c r="C16" i="13" s="1"/>
  <c r="F5" i="13"/>
  <c r="G5" i="13"/>
  <c r="L197" i="1"/>
  <c r="C109" i="2" s="1"/>
  <c r="L198" i="1"/>
  <c r="L199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L243" i="1"/>
  <c r="F15" i="13"/>
  <c r="G15" i="13"/>
  <c r="L208" i="1"/>
  <c r="C124" i="2" s="1"/>
  <c r="L226" i="1"/>
  <c r="L244" i="1"/>
  <c r="H662" i="1"/>
  <c r="F17" i="13"/>
  <c r="G17" i="13"/>
  <c r="L251" i="1"/>
  <c r="F18" i="13"/>
  <c r="D18" i="13" s="1"/>
  <c r="C18" i="13" s="1"/>
  <c r="G18" i="13"/>
  <c r="L252" i="1"/>
  <c r="F19" i="13"/>
  <c r="G19" i="13"/>
  <c r="D19" i="13" s="1"/>
  <c r="L253" i="1"/>
  <c r="G29" i="13"/>
  <c r="L358" i="1"/>
  <c r="L359" i="1"/>
  <c r="L360" i="1"/>
  <c r="I367" i="1"/>
  <c r="J290" i="1"/>
  <c r="J309" i="1"/>
  <c r="J328" i="1"/>
  <c r="K290" i="1"/>
  <c r="K309" i="1"/>
  <c r="K338" i="1" s="1"/>
  <c r="K328" i="1"/>
  <c r="L276" i="1"/>
  <c r="E109" i="2" s="1"/>
  <c r="E115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A13" i="12"/>
  <c r="C9" i="12"/>
  <c r="C13" i="12"/>
  <c r="B18" i="12"/>
  <c r="A22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L399" i="1"/>
  <c r="L400" i="1"/>
  <c r="L403" i="1"/>
  <c r="L404" i="1"/>
  <c r="L405" i="1"/>
  <c r="L406" i="1"/>
  <c r="L266" i="1"/>
  <c r="J60" i="1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F112" i="1" s="1"/>
  <c r="G111" i="1"/>
  <c r="G112" i="1"/>
  <c r="H79" i="1"/>
  <c r="H94" i="1"/>
  <c r="H111" i="1"/>
  <c r="I111" i="1"/>
  <c r="J111" i="1"/>
  <c r="F121" i="1"/>
  <c r="F140" i="1" s="1"/>
  <c r="F136" i="1"/>
  <c r="G121" i="1"/>
  <c r="G136" i="1"/>
  <c r="H121" i="1"/>
  <c r="H136" i="1"/>
  <c r="I121" i="1"/>
  <c r="I136" i="1"/>
  <c r="J121" i="1"/>
  <c r="J136" i="1"/>
  <c r="J140" i="1" s="1"/>
  <c r="F147" i="1"/>
  <c r="F162" i="1"/>
  <c r="G147" i="1"/>
  <c r="G162" i="1"/>
  <c r="H147" i="1"/>
  <c r="H169" i="1" s="1"/>
  <c r="H162" i="1"/>
  <c r="I147" i="1"/>
  <c r="I169" i="1" s="1"/>
  <c r="I162" i="1"/>
  <c r="C12" i="10"/>
  <c r="L250" i="1"/>
  <c r="L332" i="1"/>
  <c r="E113" i="2" s="1"/>
  <c r="L254" i="1"/>
  <c r="L268" i="1"/>
  <c r="L269" i="1"/>
  <c r="L349" i="1"/>
  <c r="L350" i="1"/>
  <c r="I665" i="1"/>
  <c r="I670" i="1"/>
  <c r="F661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L537" i="1"/>
  <c r="I550" i="1" s="1"/>
  <c r="L538" i="1"/>
  <c r="I551" i="1" s="1"/>
  <c r="K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L270" i="1" s="1"/>
  <c r="H270" i="1"/>
  <c r="G270" i="1"/>
  <c r="F270" i="1"/>
  <c r="C132" i="2"/>
  <c r="C131" i="2"/>
  <c r="A1" i="2"/>
  <c r="A2" i="2"/>
  <c r="D8" i="2"/>
  <c r="E8" i="2"/>
  <c r="F8" i="2"/>
  <c r="I439" i="1"/>
  <c r="J9" i="1"/>
  <c r="C9" i="2"/>
  <c r="D9" i="2"/>
  <c r="E9" i="2"/>
  <c r="F9" i="2"/>
  <c r="F18" i="2" s="1"/>
  <c r="I440" i="1"/>
  <c r="J10" i="1"/>
  <c r="G9" i="2" s="1"/>
  <c r="C10" i="2"/>
  <c r="C11" i="2"/>
  <c r="D11" i="2"/>
  <c r="E11" i="2"/>
  <c r="F11" i="2"/>
  <c r="I441" i="1"/>
  <c r="J12" i="1"/>
  <c r="G11" i="2" s="1"/>
  <c r="C12" i="2"/>
  <c r="D12" i="2"/>
  <c r="E12" i="2"/>
  <c r="F12" i="2"/>
  <c r="I442" i="1"/>
  <c r="C13" i="2"/>
  <c r="D13" i="2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 s="1"/>
  <c r="C21" i="2"/>
  <c r="D21" i="2"/>
  <c r="E21" i="2"/>
  <c r="F21" i="2"/>
  <c r="I448" i="1"/>
  <c r="C22" i="2"/>
  <c r="D22" i="2"/>
  <c r="E22" i="2"/>
  <c r="E31" i="2" s="1"/>
  <c r="F22" i="2"/>
  <c r="I449" i="1"/>
  <c r="J23" i="1" s="1"/>
  <c r="G22" i="2" s="1"/>
  <c r="C23" i="2"/>
  <c r="D23" i="2"/>
  <c r="D31" i="2"/>
  <c r="E23" i="2"/>
  <c r="F23" i="2"/>
  <c r="F31" i="2" s="1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C57" i="2"/>
  <c r="E57" i="2"/>
  <c r="C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E81" i="2" s="1"/>
  <c r="F69" i="2"/>
  <c r="F70" i="2" s="1"/>
  <c r="F81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F78" i="2" s="1"/>
  <c r="G77" i="2"/>
  <c r="G78" i="2"/>
  <c r="G81" i="2" s="1"/>
  <c r="C79" i="2"/>
  <c r="D79" i="2"/>
  <c r="E79" i="2"/>
  <c r="C80" i="2"/>
  <c r="E80" i="2"/>
  <c r="C85" i="2"/>
  <c r="D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C114" i="2"/>
  <c r="D115" i="2"/>
  <c r="F115" i="2"/>
  <c r="G115" i="2"/>
  <c r="E119" i="2"/>
  <c r="E120" i="2"/>
  <c r="E121" i="2"/>
  <c r="E123" i="2"/>
  <c r="E124" i="2"/>
  <c r="C125" i="2"/>
  <c r="E125" i="2"/>
  <c r="D127" i="2"/>
  <c r="D128" i="2" s="1"/>
  <c r="F128" i="2"/>
  <c r="G128" i="2"/>
  <c r="C130" i="2"/>
  <c r="D134" i="2"/>
  <c r="D144" i="2" s="1"/>
  <c r="E134" i="2"/>
  <c r="F134" i="2"/>
  <c r="K419" i="1"/>
  <c r="K427" i="1"/>
  <c r="K433" i="1"/>
  <c r="L263" i="1"/>
  <c r="C135" i="2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G158" i="2" s="1"/>
  <c r="E158" i="2"/>
  <c r="F158" i="2"/>
  <c r="B159" i="2"/>
  <c r="C159" i="2"/>
  <c r="G159" i="2" s="1"/>
  <c r="D159" i="2"/>
  <c r="E159" i="2"/>
  <c r="F159" i="2"/>
  <c r="B160" i="2"/>
  <c r="G160" i="2" s="1"/>
  <c r="C160" i="2"/>
  <c r="D160" i="2"/>
  <c r="E160" i="2"/>
  <c r="F160" i="2"/>
  <c r="F500" i="1"/>
  <c r="B161" i="2" s="1"/>
  <c r="G500" i="1"/>
  <c r="C161" i="2"/>
  <c r="H500" i="1"/>
  <c r="D161" i="2" s="1"/>
  <c r="I500" i="1"/>
  <c r="E161" i="2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/>
  <c r="G164" i="2" s="1"/>
  <c r="H503" i="1"/>
  <c r="D164" i="2" s="1"/>
  <c r="I503" i="1"/>
  <c r="E164" i="2"/>
  <c r="J503" i="1"/>
  <c r="F164" i="2" s="1"/>
  <c r="G19" i="1"/>
  <c r="G618" i="1"/>
  <c r="H19" i="1"/>
  <c r="I19" i="1"/>
  <c r="F32" i="1"/>
  <c r="F52" i="1"/>
  <c r="H617" i="1" s="1"/>
  <c r="G32" i="1"/>
  <c r="H32" i="1"/>
  <c r="I32" i="1"/>
  <c r="G52" i="1"/>
  <c r="H618" i="1" s="1"/>
  <c r="H51" i="1"/>
  <c r="H52" i="1"/>
  <c r="H619" i="1" s="1"/>
  <c r="I51" i="1"/>
  <c r="I52" i="1"/>
  <c r="H620" i="1" s="1"/>
  <c r="F177" i="1"/>
  <c r="I177" i="1"/>
  <c r="F183" i="1"/>
  <c r="F192" i="1" s="1"/>
  <c r="G183" i="1"/>
  <c r="G192" i="1" s="1"/>
  <c r="H183" i="1"/>
  <c r="I183" i="1"/>
  <c r="I192" i="1" s="1"/>
  <c r="J183" i="1"/>
  <c r="J192" i="1" s="1"/>
  <c r="F188" i="1"/>
  <c r="G188" i="1"/>
  <c r="H188" i="1"/>
  <c r="I188" i="1"/>
  <c r="F211" i="1"/>
  <c r="G211" i="1"/>
  <c r="G257" i="1" s="1"/>
  <c r="G271" i="1" s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/>
  <c r="F352" i="1" s="1"/>
  <c r="G290" i="1"/>
  <c r="H290" i="1"/>
  <c r="I290" i="1"/>
  <c r="I338" i="1" s="1"/>
  <c r="I352" i="1" s="1"/>
  <c r="F309" i="1"/>
  <c r="G309" i="1"/>
  <c r="H309" i="1"/>
  <c r="I309" i="1"/>
  <c r="F328" i="1"/>
  <c r="G328" i="1"/>
  <c r="H328" i="1"/>
  <c r="I328" i="1"/>
  <c r="F337" i="1"/>
  <c r="G337" i="1"/>
  <c r="L337" i="1" s="1"/>
  <c r="H337" i="1"/>
  <c r="I337" i="1"/>
  <c r="J337" i="1"/>
  <c r="J338" i="1"/>
  <c r="J352" i="1" s="1"/>
  <c r="K337" i="1"/>
  <c r="K352" i="1"/>
  <c r="F362" i="1"/>
  <c r="G362" i="1"/>
  <c r="H362" i="1"/>
  <c r="I362" i="1"/>
  <c r="K362" i="1"/>
  <c r="I368" i="1"/>
  <c r="I369" i="1" s="1"/>
  <c r="H634" i="1"/>
  <c r="J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J434" i="1" s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H446" i="1"/>
  <c r="G641" i="1" s="1"/>
  <c r="F452" i="1"/>
  <c r="G452" i="1"/>
  <c r="H452" i="1"/>
  <c r="F460" i="1"/>
  <c r="G460" i="1"/>
  <c r="H460" i="1"/>
  <c r="F461" i="1"/>
  <c r="H639" i="1" s="1"/>
  <c r="G461" i="1"/>
  <c r="F470" i="1"/>
  <c r="G470" i="1"/>
  <c r="G476" i="1" s="1"/>
  <c r="H623" i="1" s="1"/>
  <c r="J623" i="1" s="1"/>
  <c r="I470" i="1"/>
  <c r="J470" i="1"/>
  <c r="F474" i="1"/>
  <c r="G474" i="1"/>
  <c r="H474" i="1"/>
  <c r="I474" i="1"/>
  <c r="J474" i="1"/>
  <c r="J476" i="1"/>
  <c r="H626" i="1" s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H545" i="1" s="1"/>
  <c r="I524" i="1"/>
  <c r="J524" i="1"/>
  <c r="J545" i="1"/>
  <c r="K524" i="1"/>
  <c r="F529" i="1"/>
  <c r="G529" i="1"/>
  <c r="H529" i="1"/>
  <c r="I529" i="1"/>
  <c r="J529" i="1"/>
  <c r="K529" i="1"/>
  <c r="F534" i="1"/>
  <c r="F545" i="1" s="1"/>
  <c r="G534" i="1"/>
  <c r="H534" i="1"/>
  <c r="I534" i="1"/>
  <c r="J534" i="1"/>
  <c r="K534" i="1"/>
  <c r="F539" i="1"/>
  <c r="G539" i="1"/>
  <c r="H539" i="1"/>
  <c r="I539" i="1"/>
  <c r="J539" i="1"/>
  <c r="K539" i="1"/>
  <c r="K545" i="1" s="1"/>
  <c r="F544" i="1"/>
  <c r="G544" i="1"/>
  <c r="H544" i="1"/>
  <c r="I544" i="1"/>
  <c r="J544" i="1"/>
  <c r="K544" i="1"/>
  <c r="L544" i="1"/>
  <c r="L557" i="1"/>
  <c r="L558" i="1"/>
  <c r="L559" i="1"/>
  <c r="F560" i="1"/>
  <c r="F571" i="1" s="1"/>
  <c r="G560" i="1"/>
  <c r="H560" i="1"/>
  <c r="I560" i="1"/>
  <c r="J560" i="1"/>
  <c r="J571" i="1" s="1"/>
  <c r="K560" i="1"/>
  <c r="L562" i="1"/>
  <c r="L563" i="1"/>
  <c r="L564" i="1"/>
  <c r="L565" i="1" s="1"/>
  <c r="F565" i="1"/>
  <c r="G565" i="1"/>
  <c r="H565" i="1"/>
  <c r="I565" i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8" i="1" s="1"/>
  <c r="G647" i="1" s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H605" i="1"/>
  <c r="I605" i="1"/>
  <c r="J605" i="1"/>
  <c r="F614" i="1"/>
  <c r="G614" i="1"/>
  <c r="H614" i="1"/>
  <c r="I614" i="1"/>
  <c r="J614" i="1"/>
  <c r="K614" i="1"/>
  <c r="L614" i="1"/>
  <c r="G619" i="1"/>
  <c r="J619" i="1" s="1"/>
  <c r="G620" i="1"/>
  <c r="G623" i="1"/>
  <c r="G624" i="1"/>
  <c r="G625" i="1"/>
  <c r="J625" i="1" s="1"/>
  <c r="H627" i="1"/>
  <c r="H628" i="1"/>
  <c r="H630" i="1"/>
  <c r="H631" i="1"/>
  <c r="H632" i="1"/>
  <c r="H633" i="1"/>
  <c r="G634" i="1"/>
  <c r="H635" i="1"/>
  <c r="H636" i="1"/>
  <c r="H637" i="1"/>
  <c r="H638" i="1"/>
  <c r="G639" i="1"/>
  <c r="G640" i="1"/>
  <c r="H640" i="1"/>
  <c r="G643" i="1"/>
  <c r="J643" i="1" s="1"/>
  <c r="H643" i="1"/>
  <c r="G644" i="1"/>
  <c r="G645" i="1"/>
  <c r="H645" i="1"/>
  <c r="J645" i="1" s="1"/>
  <c r="G650" i="1"/>
  <c r="G651" i="1"/>
  <c r="J651" i="1"/>
  <c r="G652" i="1"/>
  <c r="J652" i="1" s="1"/>
  <c r="H652" i="1"/>
  <c r="G653" i="1"/>
  <c r="J653" i="1" s="1"/>
  <c r="H653" i="1"/>
  <c r="G654" i="1"/>
  <c r="H654" i="1"/>
  <c r="H655" i="1"/>
  <c r="J655" i="1" s="1"/>
  <c r="A31" i="12"/>
  <c r="D62" i="2"/>
  <c r="D63" i="2" s="1"/>
  <c r="D104" i="2" s="1"/>
  <c r="D17" i="13"/>
  <c r="C17" i="13" s="1"/>
  <c r="D91" i="2"/>
  <c r="G62" i="2"/>
  <c r="C19" i="13"/>
  <c r="E78" i="2"/>
  <c r="K571" i="1"/>
  <c r="L419" i="1"/>
  <c r="I476" i="1"/>
  <c r="H625" i="1"/>
  <c r="F169" i="1"/>
  <c r="J552" i="1"/>
  <c r="H140" i="1"/>
  <c r="C139" i="2"/>
  <c r="F22" i="13"/>
  <c r="H25" i="13"/>
  <c r="C25" i="13" s="1"/>
  <c r="H571" i="1"/>
  <c r="L560" i="1"/>
  <c r="L571" i="1" s="1"/>
  <c r="H338" i="1"/>
  <c r="H352" i="1" s="1"/>
  <c r="H192" i="1"/>
  <c r="C35" i="10"/>
  <c r="L309" i="1"/>
  <c r="I571" i="1"/>
  <c r="G36" i="2"/>
  <c r="G545" i="1"/>
  <c r="C22" i="13"/>
  <c r="H33" i="13"/>
  <c r="F62" i="2"/>
  <c r="C23" i="10"/>
  <c r="G162" i="2"/>
  <c r="G103" i="2"/>
  <c r="F103" i="2"/>
  <c r="C103" i="2"/>
  <c r="E50" i="2"/>
  <c r="E51" i="2"/>
  <c r="E18" i="2"/>
  <c r="F50" i="2"/>
  <c r="C24" i="10"/>
  <c r="G31" i="13"/>
  <c r="J650" i="1"/>
  <c r="L407" i="1"/>
  <c r="C140" i="2" s="1"/>
  <c r="E91" i="2"/>
  <c r="J654" i="1"/>
  <c r="F434" i="1"/>
  <c r="K434" i="1"/>
  <c r="G134" i="2" s="1"/>
  <c r="G144" i="2" s="1"/>
  <c r="G145" i="2" s="1"/>
  <c r="C6" i="10"/>
  <c r="F31" i="13"/>
  <c r="G169" i="1"/>
  <c r="G140" i="1"/>
  <c r="G193" i="1" s="1"/>
  <c r="G628" i="1" s="1"/>
  <c r="J628" i="1" s="1"/>
  <c r="C5" i="10"/>
  <c r="G42" i="2"/>
  <c r="G16" i="2"/>
  <c r="H434" i="1"/>
  <c r="J620" i="1"/>
  <c r="D103" i="2"/>
  <c r="I140" i="1"/>
  <c r="G571" i="1"/>
  <c r="I434" i="1"/>
  <c r="G434" i="1"/>
  <c r="L534" i="1"/>
  <c r="I545" i="1"/>
  <c r="L524" i="1"/>
  <c r="F552" i="1"/>
  <c r="F476" i="1"/>
  <c r="H622" i="1" s="1"/>
  <c r="J622" i="1" s="1"/>
  <c r="J640" i="1"/>
  <c r="J639" i="1"/>
  <c r="G8" i="2"/>
  <c r="H408" i="1"/>
  <c r="H644" i="1" s="1"/>
  <c r="J644" i="1" s="1"/>
  <c r="F33" i="13"/>
  <c r="D29" i="13"/>
  <c r="C29" i="13" s="1"/>
  <c r="J362" i="1"/>
  <c r="G661" i="1"/>
  <c r="I661" i="1" s="1"/>
  <c r="H661" i="1"/>
  <c r="C16" i="10"/>
  <c r="C15" i="10"/>
  <c r="L290" i="1"/>
  <c r="C10" i="10"/>
  <c r="I257" i="1"/>
  <c r="I271" i="1" s="1"/>
  <c r="F257" i="1"/>
  <c r="F271" i="1" s="1"/>
  <c r="K257" i="1"/>
  <c r="K271" i="1" s="1"/>
  <c r="F662" i="1"/>
  <c r="I662" i="1" s="1"/>
  <c r="C119" i="2"/>
  <c r="D7" i="13"/>
  <c r="C7" i="13"/>
  <c r="C118" i="2"/>
  <c r="D6" i="13"/>
  <c r="C6" i="13" s="1"/>
  <c r="H211" i="1"/>
  <c r="H257" i="1"/>
  <c r="H271" i="1" s="1"/>
  <c r="L211" i="1"/>
  <c r="C39" i="10"/>
  <c r="F193" i="1"/>
  <c r="G627" i="1" s="1"/>
  <c r="J627" i="1" s="1"/>
  <c r="C62" i="2"/>
  <c r="C63" i="2" s="1"/>
  <c r="J618" i="1"/>
  <c r="J617" i="1"/>
  <c r="C8" i="2"/>
  <c r="C18" i="2" s="1"/>
  <c r="F660" i="1"/>
  <c r="F664" i="1" s="1"/>
  <c r="L545" i="1" l="1"/>
  <c r="F672" i="1"/>
  <c r="C4" i="10" s="1"/>
  <c r="F667" i="1"/>
  <c r="J19" i="1"/>
  <c r="G621" i="1" s="1"/>
  <c r="C27" i="10"/>
  <c r="G635" i="1"/>
  <c r="J635" i="1" s="1"/>
  <c r="D18" i="2"/>
  <c r="L529" i="1"/>
  <c r="G549" i="1"/>
  <c r="G552" i="1" s="1"/>
  <c r="C21" i="10"/>
  <c r="D15" i="13"/>
  <c r="C15" i="13" s="1"/>
  <c r="G50" i="2"/>
  <c r="I408" i="1"/>
  <c r="J22" i="1"/>
  <c r="I452" i="1"/>
  <c r="C31" i="2"/>
  <c r="C51" i="2" s="1"/>
  <c r="J13" i="1"/>
  <c r="G12" i="2" s="1"/>
  <c r="I446" i="1"/>
  <c r="G642" i="1" s="1"/>
  <c r="I549" i="1"/>
  <c r="I552" i="1" s="1"/>
  <c r="L539" i="1"/>
  <c r="K550" i="1"/>
  <c r="C143" i="2"/>
  <c r="C26" i="10"/>
  <c r="E58" i="2"/>
  <c r="E62" i="2" s="1"/>
  <c r="E63" i="2" s="1"/>
  <c r="H112" i="1"/>
  <c r="I663" i="1"/>
  <c r="E130" i="2"/>
  <c r="E144" i="2" s="1"/>
  <c r="C29" i="10"/>
  <c r="L328" i="1"/>
  <c r="E122" i="2"/>
  <c r="E118" i="2"/>
  <c r="G18" i="2"/>
  <c r="C38" i="10"/>
  <c r="D5" i="13"/>
  <c r="H647" i="1"/>
  <c r="J647" i="1" s="1"/>
  <c r="C17" i="10"/>
  <c r="H461" i="1"/>
  <c r="H641" i="1" s="1"/>
  <c r="J641" i="1" s="1"/>
  <c r="L427" i="1"/>
  <c r="J257" i="1"/>
  <c r="G163" i="2"/>
  <c r="G161" i="2"/>
  <c r="D145" i="2"/>
  <c r="E103" i="2"/>
  <c r="C91" i="2"/>
  <c r="F85" i="2"/>
  <c r="F91" i="2" s="1"/>
  <c r="D50" i="2"/>
  <c r="D51" i="2" s="1"/>
  <c r="K549" i="1"/>
  <c r="K552" i="1" s="1"/>
  <c r="G56" i="2"/>
  <c r="G63" i="2" s="1"/>
  <c r="G104" i="2" s="1"/>
  <c r="J112" i="1"/>
  <c r="J193" i="1" s="1"/>
  <c r="F51" i="2"/>
  <c r="C78" i="2"/>
  <c r="C81" i="2" s="1"/>
  <c r="C104" i="2" s="1"/>
  <c r="C20" i="10"/>
  <c r="C123" i="2"/>
  <c r="D14" i="13"/>
  <c r="C14" i="13" s="1"/>
  <c r="E13" i="13"/>
  <c r="C13" i="13" s="1"/>
  <c r="C19" i="10"/>
  <c r="C122" i="2"/>
  <c r="H629" i="1"/>
  <c r="H470" i="1"/>
  <c r="H476" i="1" s="1"/>
  <c r="H624" i="1" s="1"/>
  <c r="J624" i="1" s="1"/>
  <c r="C112" i="2"/>
  <c r="E8" i="13"/>
  <c r="G649" i="1"/>
  <c r="J649" i="1" s="1"/>
  <c r="L434" i="1"/>
  <c r="G638" i="1" s="1"/>
  <c r="J638" i="1" s="1"/>
  <c r="G338" i="1"/>
  <c r="G352" i="1" s="1"/>
  <c r="L256" i="1"/>
  <c r="F130" i="2"/>
  <c r="F144" i="2" s="1"/>
  <c r="F145" i="2" s="1"/>
  <c r="L382" i="1"/>
  <c r="G636" i="1" s="1"/>
  <c r="J636" i="1" s="1"/>
  <c r="I112" i="1"/>
  <c r="I193" i="1" s="1"/>
  <c r="G630" i="1" s="1"/>
  <c r="J630" i="1" s="1"/>
  <c r="F56" i="2"/>
  <c r="F63" i="2" s="1"/>
  <c r="L393" i="1"/>
  <c r="D12" i="13"/>
  <c r="C12" i="13" s="1"/>
  <c r="G33" i="13"/>
  <c r="L247" i="1"/>
  <c r="H660" i="1" s="1"/>
  <c r="H664" i="1" s="1"/>
  <c r="C11" i="10"/>
  <c r="C110" i="2"/>
  <c r="C115" i="2" s="1"/>
  <c r="L229" i="1"/>
  <c r="G660" i="1" s="1"/>
  <c r="G664" i="1" s="1"/>
  <c r="J45" i="1"/>
  <c r="G44" i="2" s="1"/>
  <c r="I460" i="1"/>
  <c r="C121" i="2"/>
  <c r="C128" i="2" s="1"/>
  <c r="C138" i="2" l="1"/>
  <c r="L408" i="1"/>
  <c r="G672" i="1"/>
  <c r="G667" i="1"/>
  <c r="C8" i="13"/>
  <c r="E33" i="13"/>
  <c r="D35" i="13" s="1"/>
  <c r="G646" i="1"/>
  <c r="G631" i="1"/>
  <c r="J631" i="1" s="1"/>
  <c r="J642" i="1"/>
  <c r="J32" i="1"/>
  <c r="G21" i="2"/>
  <c r="G31" i="2" s="1"/>
  <c r="D27" i="10"/>
  <c r="C28" i="10"/>
  <c r="D19" i="10"/>
  <c r="D17" i="10"/>
  <c r="I660" i="1"/>
  <c r="I664" i="1" s="1"/>
  <c r="L338" i="1"/>
  <c r="L352" i="1" s="1"/>
  <c r="G633" i="1" s="1"/>
  <c r="J633" i="1" s="1"/>
  <c r="D31" i="13"/>
  <c r="C31" i="13" s="1"/>
  <c r="H193" i="1"/>
  <c r="G629" i="1" s="1"/>
  <c r="J629" i="1" s="1"/>
  <c r="C36" i="10"/>
  <c r="L257" i="1"/>
  <c r="L271" i="1" s="1"/>
  <c r="G632" i="1" s="1"/>
  <c r="J632" i="1" s="1"/>
  <c r="J271" i="1"/>
  <c r="H648" i="1"/>
  <c r="J648" i="1" s="1"/>
  <c r="E104" i="2"/>
  <c r="G51" i="2"/>
  <c r="H672" i="1"/>
  <c r="H667" i="1"/>
  <c r="F104" i="2"/>
  <c r="J51" i="1"/>
  <c r="C5" i="13"/>
  <c r="D33" i="13"/>
  <c r="D36" i="13" s="1"/>
  <c r="E128" i="2"/>
  <c r="E145" i="2" s="1"/>
  <c r="D26" i="10"/>
  <c r="I461" i="1"/>
  <c r="H642" i="1" s="1"/>
  <c r="J52" i="1" l="1"/>
  <c r="H621" i="1" s="1"/>
  <c r="J621" i="1" s="1"/>
  <c r="G626" i="1"/>
  <c r="D25" i="10"/>
  <c r="D10" i="10"/>
  <c r="D24" i="10"/>
  <c r="C30" i="10"/>
  <c r="D15" i="10"/>
  <c r="D22" i="10"/>
  <c r="D12" i="10"/>
  <c r="D16" i="10"/>
  <c r="D23" i="10"/>
  <c r="D18" i="10"/>
  <c r="D13" i="10"/>
  <c r="C41" i="10"/>
  <c r="D36" i="10" s="1"/>
  <c r="I667" i="1"/>
  <c r="I672" i="1"/>
  <c r="C7" i="10" s="1"/>
  <c r="D11" i="10"/>
  <c r="H646" i="1"/>
  <c r="J646" i="1" s="1"/>
  <c r="G637" i="1"/>
  <c r="J637" i="1" s="1"/>
  <c r="D20" i="10"/>
  <c r="D21" i="10"/>
  <c r="C141" i="2"/>
  <c r="C144" i="2" s="1"/>
  <c r="C145" i="2" s="1"/>
  <c r="D28" i="10" l="1"/>
  <c r="D37" i="10"/>
  <c r="D35" i="10"/>
  <c r="D40" i="10"/>
  <c r="D39" i="10"/>
  <c r="D38" i="10"/>
  <c r="J626" i="1"/>
  <c r="H65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<sst xmlns="http://schemas.openxmlformats.org/spreadsheetml/2006/main" count="3954" uniqueCount="912">
  <si>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</si>
  <si>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</si>
  <si>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</si>
  <si>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</si>
  <si>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</si>
  <si>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</si>
  <si>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</si>
  <si>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</si>
  <si>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</si>
  <si>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</si>
  <si>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</si>
  <si>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</si>
  <si>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</si>
  <si>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</si>
  <si>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</si>
  <si>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</si>
  <si>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</si>
  <si>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</si>
  <si>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</si>
  <si>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</si>
  <si>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</si>
  <si>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</si>
  <si>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</si>
  <si>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</si>
  <si>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</si>
  <si>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</si>
  <si>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</si>
  <si>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</si>
  <si>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</si>
  <si>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</si>
  <si>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</si>
  <si>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</si>
  <si>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</si>
  <si>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</si>
  <si>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</si>
  <si>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</si>
  <si>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</si>
  <si>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</si>
  <si>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</si>
  <si>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</si>
  <si>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</si>
  <si>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</si>
  <si>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</si>
  <si>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</si>
  <si>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</si>
  <si>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</si>
  <si>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</si>
  <si>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</si>
  <si>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</si>
  <si>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</si>
  <si>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</si>
  <si>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</si>
  <si>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</si>
  <si>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</si>
  <si>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</si>
  <si>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</si>
  <si>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</si>
  <si>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</si>
  <si>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</si>
  <si>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</si>
  <si>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</si>
  <si>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</si>
  <si>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</si>
  <si>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</si>
  <si>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</si>
  <si>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</si>
  <si>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</si>
  <si>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</si>
  <si>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</si>
  <si>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</si>
  <si>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</si>
  <si>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</si>
  <si>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</si>
  <si>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</si>
  <si>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</si>
  <si>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</si>
  <si>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</si>
  <si>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</si>
  <si>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</si>
  <si>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</si>
  <si>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</si>
  <si>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</si>
  <si>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</si>
  <si>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</si>
  <si>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</si>
  <si>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</si>
  <si>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</si>
  <si>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</si>
  <si>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</si>
  <si>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</si>
  <si>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</si>
  <si>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</si>
  <si>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</si>
  <si>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</si>
  <si>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</si>
  <si>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</si>
  <si>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</si>
  <si>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</si>
  <si>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</si>
  <si>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</si>
  <si>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</si>
  <si>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</si>
  <si>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</si>
  <si>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</si>
  <si>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</si>
  <si>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</si>
  <si>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</si>
  <si>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</si>
  <si>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</si>
  <si>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</si>
  <si>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</si>
  <si>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</si>
  <si>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</si>
  <si>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</si>
  <si>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</si>
  <si>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</si>
  <si>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</si>
  <si>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</si>
  <si>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</si>
  <si>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</si>
  <si>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</si>
  <si>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</si>
  <si>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</si>
  <si>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</si>
  <si>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</si>
  <si>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</si>
  <si>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</si>
  <si>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</si>
  <si>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</si>
  <si>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</si>
  <si>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</si>
  <si>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</si>
  <si>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</si>
  <si>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</si>
  <si>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</si>
  <si>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</si>
  <si>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</si>
  <si>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</si>
  <si>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</si>
  <si>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</si>
  <si>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</si>
  <si>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</si>
  <si>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</si>
  <si>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</si>
  <si>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</si>
  <si>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</si>
  <si>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</si>
  <si>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</si>
  <si>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</si>
  <si>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</si>
  <si>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</si>
  <si>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</si>
  <si>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</si>
  <si>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</si>
  <si>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</si>
  <si>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</si>
  <si>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</si>
  <si>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</si>
  <si>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</si>
  <si>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</si>
  <si>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</si>
  <si>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</si>
  <si>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</si>
  <si>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</si>
  <si>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</si>
  <si>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</si>
  <si>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</si>
  <si>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</si>
  <si>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</si>
  <si>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</si>
  <si>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</si>
  <si>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</si>
  <si>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</si>
  <si>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</si>
  <si>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</si>
  <si>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</si>
  <si>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</si>
  <si>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</si>
  <si>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</si>
  <si>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</si>
  <si>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</si>
  <si>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</si>
  <si>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</si>
  <si>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</si>
  <si>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</si>
  <si>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</si>
  <si>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</si>
  <si>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</si>
  <si>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</si>
  <si>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</si>
  <si>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</si>
  <si>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</si>
  <si>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</si>
  <si>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</si>
  <si>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</si>
  <si>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</si>
  <si>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</si>
  <si>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</si>
  <si>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</si>
  <si>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</si>
  <si>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</si>
  <si>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</si>
  <si>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</si>
  <si>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</si>
  <si>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</si>
  <si>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</si>
  <si>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</si>
  <si>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</si>
  <si>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</si>
  <si>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</si>
  <si>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</si>
  <si>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</si>
  <si>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</si>
  <si>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</si>
  <si>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</si>
  <si>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</si>
  <si>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</si>
  <si>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</si>
  <si>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</si>
  <si>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</si>
  <si>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</si>
  <si>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</si>
  <si>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</si>
  <si>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</si>
  <si>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</si>
  <si>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</si>
  <si>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</si>
  <si>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</si>
  <si>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</si>
  <si>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</si>
  <si>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</si>
  <si>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</si>
  <si>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</si>
  <si>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</si>
  <si>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</si>
  <si>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</si>
  <si>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</si>
  <si>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</si>
  <si>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</si>
  <si>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</si>
  <si>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</si>
  <si>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</si>
  <si>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</si>
  <si>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</si>
  <si>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</si>
  <si>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</si>
  <si>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</si>
  <si>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</si>
  <si>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</si>
  <si>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</si>
  <si>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</si>
  <si>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</si>
  <si>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</si>
  <si>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</si>
  <si>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</si>
  <si>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</si>
  <si>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</si>
  <si>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</si>
  <si>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</si>
  <si>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</si>
  <si>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</si>
  <si>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</si>
  <si>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</si>
  <si>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</si>
  <si>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</si>
  <si>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</si>
  <si>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</si>
  <si>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</si>
  <si>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</si>
  <si>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</si>
  <si>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</si>
  <si>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</si>
  <si>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</si>
  <si>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</si>
  <si>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</si>
  <si>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</si>
  <si>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</si>
  <si>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</si>
  <si>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</si>
  <si>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</si>
  <si>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</si>
  <si>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</si>
  <si>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</si>
  <si>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</si>
  <si>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</si>
  <si>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</si>
  <si>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</si>
  <si>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</si>
  <si>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</si>
  <si>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</si>
  <si>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</si>
  <si>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</si>
  <si>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</si>
  <si>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</si>
  <si>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</si>
  <si>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</si>
  <si>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</si>
  <si>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</si>
  <si>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</si>
  <si>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</si>
  <si>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</si>
  <si>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</si>
  <si>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</si>
  <si>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</si>
  <si>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</si>
  <si>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</si>
  <si>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</si>
  <si>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</si>
  <si>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</si>
  <si>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</si>
  <si>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</si>
  <si>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</si>
  <si>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</si>
  <si>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</si>
  <si>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</si>
  <si>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</si>
  <si>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</si>
  <si>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</si>
  <si>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</si>
  <si>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</si>
  <si>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</si>
  <si>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</si>
  <si>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</si>
  <si>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</si>
  <si>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</si>
  <si>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</si>
  <si>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</si>
  <si>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</si>
  <si>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</si>
  <si>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</si>
  <si>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</si>
  <si>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</si>
  <si>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</si>
  <si>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</si>
  <si>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</si>
  <si>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</si>
  <si>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</si>
  <si>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</si>
  <si>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</si>
  <si>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</si>
  <si>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</si>
  <si>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</si>
  <si>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</si>
  <si>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</si>
  <si>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</si>
  <si>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</si>
  <si>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</si>
  <si>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</si>
  <si>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</si>
  <si>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</si>
  <si>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</si>
  <si>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</si>
  <si>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</si>
  <si>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</si>
  <si>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</si>
  <si>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</si>
  <si>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</si>
  <si>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</si>
  <si>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</si>
  <si>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</si>
  <si>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</si>
  <si>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</si>
  <si>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</si>
  <si>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</si>
  <si>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</si>
  <si>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</si>
  <si>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</si>
  <si>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</si>
  <si>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</si>
  <si>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</si>
  <si>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</si>
  <si>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</si>
  <si>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</si>
  <si>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</si>
  <si>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</si>
  <si>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</si>
  <si>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</si>
  <si>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</si>
  <si>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</si>
  <si>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</si>
  <si>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</si>
  <si>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</si>
  <si>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</si>
  <si>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</si>
  <si>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</si>
  <si>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</si>
  <si>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</si>
  <si>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</si>
  <si>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</si>
  <si>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</si>
  <si>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</si>
  <si>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</si>
  <si>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</si>
  <si>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</si>
  <si>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</si>
  <si>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</si>
  <si>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</si>
  <si>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</si>
  <si>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</si>
  <si>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</si>
  <si>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</si>
  <si>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</si>
  <si>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</si>
  <si>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</si>
  <si>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</si>
  <si>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</si>
  <si>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</si>
  <si>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</si>
  <si>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</si>
  <si>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</si>
  <si>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</si>
  <si>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</si>
  <si>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</si>
  <si>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</si>
  <si>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</si>
  <si>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</si>
  <si>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</si>
  <si>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</si>
  <si>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</si>
  <si>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</si>
  <si>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</si>
  <si>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</si>
  <si>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</si>
  <si>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</si>
  <si>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</si>
  <si>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</si>
  <si>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</si>
  <si>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</si>
  <si>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</si>
  <si>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</si>
  <si>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</si>
  <si>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</si>
  <si>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</si>
  <si>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</si>
  <si>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</si>
  <si>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</si>
  <si>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</si>
  <si>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</si>
  <si>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</si>
  <si>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</si>
  <si>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</si>
  <si>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</si>
  <si>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</si>
  <si>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</si>
  <si>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</si>
  <si>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</si>
  <si>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</si>
  <si>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</si>
  <si>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</si>
  <si>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</si>
  <si>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</si>
  <si>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</si>
  <si>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</si>
  <si>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</si>
  <si>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</si>
  <si>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</si>
  <si>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</si>
  <si>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</si>
  <si>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</si>
  <si>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</si>
  <si>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</si>
  <si>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</si>
  <si>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</si>
  <si>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</si>
  <si>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</si>
  <si>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</si>
  <si>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</si>
  <si>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</si>
  <si>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</si>
  <si>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</si>
  <si>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</si>
  <si>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</si>
  <si>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</si>
  <si>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</si>
  <si>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</si>
  <si>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</si>
  <si>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</si>
  <si>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</si>
  <si>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</si>
  <si>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</si>
  <si>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</si>
  <si>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</si>
  <si>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</si>
  <si>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</si>
  <si>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</si>
  <si>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</si>
  <si>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</si>
  <si>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</si>
  <si>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</si>
  <si>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</si>
  <si>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</si>
  <si>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</si>
  <si>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</si>
  <si>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</si>
  <si>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</si>
  <si>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</si>
  <si>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</si>
  <si>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</si>
  <si>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</si>
  <si>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</si>
  <si>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</si>
  <si>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</si>
  <si>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</si>
  <si>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</si>
  <si>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</si>
  <si>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</si>
  <si>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</si>
  <si>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</si>
  <si>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</si>
  <si>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</si>
  <si>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</si>
  <si>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</si>
  <si>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</si>
  <si>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</si>
  <si>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</si>
  <si>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</si>
  <si>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</si>
  <si>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</si>
  <si>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</si>
  <si>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</si>
  <si>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</si>
  <si>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</si>
  <si>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</si>
  <si>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</si>
  <si>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</si>
  <si>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</si>
  <si>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</si>
  <si>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</si>
  <si>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</si>
  <si>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</si>
  <si>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</si>
  <si>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</si>
  <si>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</si>
  <si>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</si>
  <si>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</si>
  <si>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</si>
  <si>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</si>
  <si>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</si>
  <si>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</si>
  <si>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</si>
  <si>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</si>
  <si>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</si>
  <si>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</si>
  <si>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</si>
  <si>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</si>
  <si>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</si>
  <si>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</si>
  <si>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</si>
  <si>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</si>
  <si>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</si>
  <si>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</si>
  <si>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</si>
  <si>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</si>
  <si>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</si>
  <si>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</si>
  <si>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</si>
  <si>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</si>
  <si>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</si>
  <si>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</si>
  <si>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</si>
  <si>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</si>
  <si>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</si>
  <si>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</si>
  <si>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</si>
  <si>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</si>
  <si>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</si>
  <si>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</si>
  <si>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</si>
  <si>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</si>
  <si>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</si>
  <si>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</si>
  <si>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</si>
  <si>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</si>
  <si>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</si>
  <si>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</si>
  <si>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</si>
  <si>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</si>
  <si>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</si>
  <si>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</si>
  <si>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</si>
  <si>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</si>
  <si>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</si>
  <si>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</si>
  <si>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</si>
  <si>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</si>
  <si>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</si>
  <si>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</si>
  <si>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</si>
  <si>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</si>
  <si>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</si>
  <si>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</si>
  <si>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</si>
  <si>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</si>
  <si>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</si>
  <si>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</si>
  <si>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</si>
  <si>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</si>
  <si>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</si>
  <si>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</si>
  <si>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</si>
  <si>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</si>
  <si>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</si>
  <si>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</si>
  <si>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</si>
  <si>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</si>
  <si>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</si>
  <si>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</si>
  <si>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</si>
  <si>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</si>
  <si>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</si>
  <si>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</si>
  <si>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</si>
  <si>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</si>
  <si>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</si>
  <si>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</si>
  <si>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</si>
  <si>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</si>
  <si>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</si>
  <si>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</si>
  <si>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</si>
  <si>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</si>
  <si>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</si>
  <si>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</si>
  <si>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</si>
  <si>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</si>
  <si>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</si>
  <si>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</si>
  <si>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</si>
  <si>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</si>
  <si>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</si>
  <si>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</si>
  <si>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</si>
  <si>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</si>
  <si>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</si>
  <si>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</si>
  <si>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</si>
  <si>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</si>
  <si>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</si>
  <si>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</si>
  <si>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</si>
  <si>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</si>
  <si>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</si>
  <si>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</si>
  <si>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</si>
  <si>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</si>
  <si>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</si>
  <si>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</si>
  <si>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</si>
  <si>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</si>
  <si>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</si>
  <si>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</si>
  <si>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</si>
  <si>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</si>
  <si>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</si>
  <si>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</si>
  <si>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</si>
  <si>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</si>
  <si>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</si>
  <si>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</si>
  <si>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</si>
  <si>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</si>
  <si>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</si>
  <si>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</si>
  <si>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</si>
  <si>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</si>
  <si>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</si>
  <si>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</si>
  <si>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</si>
  <si>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</si>
  <si>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</si>
  <si>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</si>
  <si>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</si>
  <si>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</si>
  <si>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</si>
  <si>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</si>
  <si>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</si>
  <si>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</si>
  <si>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</si>
  <si>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</si>
  <si>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</si>
  <si>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</si>
  <si>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</si>
  <si>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</si>
  <si>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</si>
  <si>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</si>
  <si>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</si>
  <si>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</si>
  <si>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</si>
  <si>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</si>
  <si>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</si>
  <si>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</si>
  <si>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</si>
  <si>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</si>
  <si>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</si>
  <si>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</si>
  <si>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</si>
  <si>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</si>
  <si>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</si>
  <si>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</si>
  <si>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</si>
  <si>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</si>
  <si>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</si>
  <si>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</si>
  <si>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</si>
  <si>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</si>
  <si>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</si>
  <si>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</si>
  <si>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</si>
  <si>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</si>
  <si>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</si>
  <si>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</si>
  <si>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</si>
  <si>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</si>
  <si>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</si>
  <si>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</si>
  <si>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</si>
  <si>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</si>
  <si>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</si>
  <si>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</si>
  <si>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</si>
  <si>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</si>
  <si>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</si>
  <si>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</si>
  <si>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</si>
  <si>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</si>
  <si>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</si>
  <si>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</si>
  <si>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</si>
  <si>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</si>
  <si>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</si>
  <si>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</si>
  <si>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</si>
  <si>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</si>
  <si>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</si>
  <si>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</si>
  <si>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</si>
  <si>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</si>
  <si>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</si>
  <si>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</si>
  <si>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</si>
  <si>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</si>
  <si>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</si>
  <si>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</si>
  <si>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</si>
  <si>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</si>
  <si>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</si>
  <si>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</si>
  <si>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</si>
  <si>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</si>
  <si>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</si>
  <si>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</si>
  <si>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</si>
  <si>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</si>
  <si>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</si>
  <si>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</si>
  <si>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</si>
  <si>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</si>
  <si>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</si>
  <si>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</si>
  <si>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</si>
  <si>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</si>
  <si>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</si>
  <si>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</si>
  <si>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</si>
  <si>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</si>
  <si>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</si>
  <si>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</si>
  <si>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</si>
  <si>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</si>
  <si>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</si>
  <si>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</si>
  <si>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</si>
  <si>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</si>
  <si>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</si>
  <si>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</si>
  <si>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</si>
  <si>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</si>
  <si>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</si>
  <si>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</si>
  <si>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</si>
  <si>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</si>
  <si>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</si>
  <si>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</si>
  <si>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</si>
  <si>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</si>
  <si>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</si>
  <si>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</si>
  <si>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</si>
  <si>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</si>
  <si>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</si>
  <si>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</si>
  <si>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</si>
  <si>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</si>
  <si>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</si>
  <si>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</si>
  <si>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</si>
  <si>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</si>
  <si>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</si>
  <si>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</si>
  <si>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</si>
  <si>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</si>
  <si>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</si>
  <si>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</si>
  <si>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</si>
  <si>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</si>
  <si>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</si>
  <si>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</si>
  <si>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</si>
  <si>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</si>
  <si>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</si>
  <si>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</si>
  <si>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</si>
  <si>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</si>
  <si>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</si>
  <si>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</si>
  <si>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</si>
  <si>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</si>
  <si>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</si>
  <si>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</si>
  <si>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</si>
  <si>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</si>
  <si>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</si>
  <si>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</si>
  <si>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</si>
  <si>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</si>
  <si>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</si>
  <si>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</si>
  <si>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</si>
  <si>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</si>
  <si>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</si>
  <si>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</si>
  <si>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</si>
  <si>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</si>
  <si>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</si>
  <si>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</si>
  <si>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</si>
  <si>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</si>
  <si>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</si>
  <si>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</si>
  <si>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</si>
  <si>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</si>
  <si>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</si>
  <si>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</si>
  <si>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</si>
  <si>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</si>
  <si>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</si>
  <si>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</si>
  <si>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</si>
  <si>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</si>
  <si>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</si>
  <si>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</si>
  <si>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</si>
  <si>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</si>
  <si>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</si>
  <si>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</si>
  <si>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</si>
  <si>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</si>
  <si>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</si>
  <si>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</si>
  <si>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</si>
  <si>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</si>
  <si>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</si>
  <si>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</si>
  <si>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</si>
  <si>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</si>
  <si>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</si>
  <si>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</si>
  <si>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</si>
  <si>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</si>
  <si>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</si>
  <si>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</si>
  <si>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</si>
  <si>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</si>
  <si>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</si>
  <si>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</si>
  <si>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</si>
  <si>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</si>
  <si>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</si>
  <si>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</si>
  <si>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</si>
  <si>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</si>
  <si>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</si>
  <si>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</si>
  <si>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</si>
  <si>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</si>
  <si>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</si>
  <si>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</si>
  <si>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</si>
  <si>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</si>
  <si>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</si>
  <si>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</si>
  <si>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</si>
  <si>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</si>
  <si>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</si>
  <si>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</si>
  <si>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</si>
  <si>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</si>
  <si>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</si>
  <si>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</si>
  <si>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</si>
  <si>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</si>
  <si>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</si>
  <si>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</si>
  <si>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</si>
  <si>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</si>
  <si>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</si>
  <si>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</si>
  <si>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</si>
  <si>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</si>
  <si>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</si>
  <si>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</si>
  <si>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 xml:space="preserve">                    BARTLETT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</si>
</sst>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35</v>
      </c>
      <c r="C2" s="21">
        <v>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342529.49+300</f>
        <v>342829.49</v>
      </c>
      <c r="G9" s="18">
        <v>56971.13</v>
      </c>
      <c r="H9" s="18">
        <v>0</v>
      </c>
      <c r="I9" s="18"/>
      <c r="J9" s="67">
        <f>SUM(I439)</f>
        <v>201956.34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110814.63</v>
      </c>
      <c r="G12" s="18">
        <v>12983.68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1513.82</v>
      </c>
      <c r="G13" s="18">
        <v>13694.93</v>
      </c>
      <c r="H13" s="18">
        <v>29165.17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549.46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70900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526057.93999999994</v>
      </c>
      <c r="G19" s="41">
        <f>SUM(G9:G18)</f>
        <v>84199.2</v>
      </c>
      <c r="H19" s="41">
        <f>SUM(H9:H18)</f>
        <v>29165.17</v>
      </c>
      <c r="I19" s="41">
        <f>SUM(I9:I18)</f>
        <v>0</v>
      </c>
      <c r="J19" s="41">
        <f>SUM(J9:J18)</f>
        <v>201956.34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83460.27</v>
      </c>
      <c r="H22" s="18">
        <v>27354.36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42291.03</v>
      </c>
      <c r="G24" s="18">
        <v>221.13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4981.3500000000004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23711.56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70983.94</v>
      </c>
      <c r="G32" s="41">
        <f>SUM(G22:G31)</f>
        <v>83681.400000000009</v>
      </c>
      <c r="H32" s="41">
        <f>SUM(H22:H31)</f>
        <v>27354.36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517.79999999999995</v>
      </c>
      <c r="H48" s="18">
        <v>1810.81</v>
      </c>
      <c r="I48" s="18"/>
      <c r="J48" s="13">
        <f>SUM(I459)</f>
        <v>201956.34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455074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455074</v>
      </c>
      <c r="G51" s="41">
        <f>SUM(G35:G50)</f>
        <v>517.79999999999995</v>
      </c>
      <c r="H51" s="41">
        <f>SUM(H35:H50)</f>
        <v>1810.81</v>
      </c>
      <c r="I51" s="41">
        <f>SUM(I35:I50)</f>
        <v>0</v>
      </c>
      <c r="J51" s="41">
        <f>SUM(J35:J50)</f>
        <v>201956.34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526057.93999999994</v>
      </c>
      <c r="G52" s="41">
        <f>G51+G32</f>
        <v>84199.200000000012</v>
      </c>
      <c r="H52" s="41">
        <f>H51+H32</f>
        <v>29165.170000000002</v>
      </c>
      <c r="I52" s="41">
        <f>I51+I32</f>
        <v>0</v>
      </c>
      <c r="J52" s="41">
        <f>J51+J32</f>
        <v>201956.34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4604712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4604712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301390.58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301390.58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4.18</v>
      </c>
      <c r="H96" s="18"/>
      <c r="I96" s="18"/>
      <c r="J96" s="18">
        <v>232.97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75945.850000000006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1488.58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24879.72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94751.38</v>
      </c>
      <c r="G110" s="18"/>
      <c r="H110" s="18">
        <v>2876.85</v>
      </c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121119.68000000001</v>
      </c>
      <c r="G111" s="41">
        <f>SUM(G96:G110)</f>
        <v>75950.03</v>
      </c>
      <c r="H111" s="41">
        <f>SUM(H96:H110)</f>
        <v>2876.85</v>
      </c>
      <c r="I111" s="41">
        <f>SUM(I96:I110)</f>
        <v>0</v>
      </c>
      <c r="J111" s="41">
        <f>SUM(J96:J110)</f>
        <v>232.97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5027222.26</v>
      </c>
      <c r="G112" s="41">
        <f>G60+G111</f>
        <v>75950.03</v>
      </c>
      <c r="H112" s="41">
        <f>H60+H79+H94+H111</f>
        <v>2876.85</v>
      </c>
      <c r="I112" s="41">
        <f>I60+I111</f>
        <v>0</v>
      </c>
      <c r="J112" s="41">
        <f>J60+J111</f>
        <v>232.97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18308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2307176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2325484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1350.3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1350.3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2325484</v>
      </c>
      <c r="G140" s="41">
        <f>G121+SUM(G136:G137)</f>
        <v>1350.3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4164</v>
      </c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78947.520000000004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24597.599999999999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52410.41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49006.45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59926.79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59926.79</v>
      </c>
      <c r="G162" s="41">
        <f>SUM(G150:G161)</f>
        <v>52410.41</v>
      </c>
      <c r="H162" s="41">
        <f>SUM(H150:H161)</f>
        <v>156715.57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18749.46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78676.25</v>
      </c>
      <c r="G169" s="41">
        <f>G147+G162+SUM(G163:G168)</f>
        <v>52410.41</v>
      </c>
      <c r="H169" s="41">
        <f>H147+H162+SUM(H163:H168)</f>
        <v>156715.57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12890.43</v>
      </c>
      <c r="H179" s="18"/>
      <c r="I179" s="18"/>
      <c r="J179" s="18">
        <v>15000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12890.43</v>
      </c>
      <c r="H183" s="41">
        <f>SUM(H179:H182)</f>
        <v>0</v>
      </c>
      <c r="I183" s="41">
        <f>SUM(I179:I182)</f>
        <v>0</v>
      </c>
      <c r="J183" s="41">
        <f>SUM(J179:J182)</f>
        <v>15000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24100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24100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24100</v>
      </c>
      <c r="G192" s="41">
        <f>G183+SUM(G188:G191)</f>
        <v>12890.43</v>
      </c>
      <c r="H192" s="41">
        <f>+H183+SUM(H188:H191)</f>
        <v>0</v>
      </c>
      <c r="I192" s="41">
        <f>I177+I183+SUM(I188:I191)</f>
        <v>0</v>
      </c>
      <c r="J192" s="41">
        <f>J183</f>
        <v>15000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7455482.5099999998</v>
      </c>
      <c r="G193" s="47">
        <f>G112+G140+G169+G192</f>
        <v>142601.17000000001</v>
      </c>
      <c r="H193" s="47">
        <f>H112+H140+H169+H192</f>
        <v>159592.42000000001</v>
      </c>
      <c r="I193" s="47">
        <f>I112+I140+I169+I192</f>
        <v>0</v>
      </c>
      <c r="J193" s="47">
        <f>J112+J140+J192</f>
        <v>15232.97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1518485.18</v>
      </c>
      <c r="G197" s="18">
        <v>656464.93999999994</v>
      </c>
      <c r="H197" s="18">
        <v>18184.2</v>
      </c>
      <c r="I197" s="18">
        <v>45783.32</v>
      </c>
      <c r="J197" s="18">
        <v>15782.09</v>
      </c>
      <c r="K197" s="18"/>
      <c r="L197" s="19">
        <f>SUM(F197:K197)</f>
        <v>2254699.73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408669.04</v>
      </c>
      <c r="G198" s="18">
        <v>273560.24</v>
      </c>
      <c r="H198" s="18">
        <v>114719.47</v>
      </c>
      <c r="I198" s="18">
        <v>1278.51</v>
      </c>
      <c r="J198" s="18"/>
      <c r="K198" s="18"/>
      <c r="L198" s="19">
        <f>SUM(F198:K198)</f>
        <v>798227.26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50900</v>
      </c>
      <c r="G200" s="18">
        <f>3697.88+1330.12+4395.8+309.36</f>
        <v>9733.16</v>
      </c>
      <c r="H200" s="18">
        <f>24500+3400+1890</f>
        <v>29790</v>
      </c>
      <c r="I200" s="18">
        <v>2299.21</v>
      </c>
      <c r="J200" s="18">
        <v>1973.48</v>
      </c>
      <c r="K200" s="18"/>
      <c r="L200" s="19">
        <f>SUM(F200:K200)</f>
        <v>94695.85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258181.48</v>
      </c>
      <c r="G202" s="18">
        <v>157068</v>
      </c>
      <c r="H202" s="18">
        <v>8735.6</v>
      </c>
      <c r="I202" s="18">
        <v>1205.69</v>
      </c>
      <c r="J202" s="18">
        <v>177.39</v>
      </c>
      <c r="K202" s="18"/>
      <c r="L202" s="19">
        <f t="shared" ref="L202:L208" si="0">SUM(F202:K202)</f>
        <v>425368.16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40800</v>
      </c>
      <c r="G203" s="18">
        <v>27585.03</v>
      </c>
      <c r="H203" s="18">
        <v>20209.080000000002</v>
      </c>
      <c r="I203" s="18">
        <v>5609.11</v>
      </c>
      <c r="J203" s="18"/>
      <c r="K203" s="18"/>
      <c r="L203" s="19">
        <f t="shared" si="0"/>
        <v>94203.22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7280</v>
      </c>
      <c r="G204" s="18">
        <v>556.89</v>
      </c>
      <c r="H204" s="18">
        <v>192436.2</v>
      </c>
      <c r="I204" s="18"/>
      <c r="J204" s="18"/>
      <c r="K204" s="18">
        <v>1880.88</v>
      </c>
      <c r="L204" s="19">
        <f t="shared" si="0"/>
        <v>202153.97000000003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173254.38</v>
      </c>
      <c r="G205" s="18">
        <v>103110.81</v>
      </c>
      <c r="H205" s="18">
        <v>12729.14</v>
      </c>
      <c r="I205" s="18">
        <v>9156.2099999999991</v>
      </c>
      <c r="J205" s="18">
        <v>6259.9</v>
      </c>
      <c r="K205" s="18">
        <v>1600</v>
      </c>
      <c r="L205" s="19">
        <f t="shared" si="0"/>
        <v>306110.44000000006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133463.81</v>
      </c>
      <c r="G207" s="18">
        <v>58006</v>
      </c>
      <c r="H207" s="18">
        <v>169506.27</v>
      </c>
      <c r="I207" s="18">
        <v>129713.67</v>
      </c>
      <c r="J207" s="18">
        <v>30076.52</v>
      </c>
      <c r="K207" s="18"/>
      <c r="L207" s="19">
        <f t="shared" si="0"/>
        <v>520766.26999999996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70530.45</v>
      </c>
      <c r="G208" s="18">
        <v>46948.4</v>
      </c>
      <c r="H208" s="18">
        <v>13655.5</v>
      </c>
      <c r="I208" s="18">
        <v>38993.47</v>
      </c>
      <c r="J208" s="18"/>
      <c r="K208" s="18"/>
      <c r="L208" s="19">
        <f t="shared" si="0"/>
        <v>170127.82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339.6</v>
      </c>
      <c r="I209" s="18"/>
      <c r="J209" s="18"/>
      <c r="K209" s="18"/>
      <c r="L209" s="19">
        <f>SUM(F209:K209)</f>
        <v>339.6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2661564.3400000003</v>
      </c>
      <c r="G211" s="41">
        <f t="shared" si="1"/>
        <v>1333033.4699999997</v>
      </c>
      <c r="H211" s="41">
        <f t="shared" si="1"/>
        <v>580305.06000000006</v>
      </c>
      <c r="I211" s="41">
        <f t="shared" si="1"/>
        <v>234039.19</v>
      </c>
      <c r="J211" s="41">
        <f t="shared" si="1"/>
        <v>54269.380000000005</v>
      </c>
      <c r="K211" s="41">
        <f t="shared" si="1"/>
        <v>3480.88</v>
      </c>
      <c r="L211" s="41">
        <f t="shared" si="1"/>
        <v>4866692.32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2242717</v>
      </c>
      <c r="I233" s="18"/>
      <c r="J233" s="18"/>
      <c r="K233" s="18"/>
      <c r="L233" s="19">
        <f>SUM(F233:K233)</f>
        <v>2242717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67124.3</v>
      </c>
      <c r="I234" s="18"/>
      <c r="J234" s="18"/>
      <c r="K234" s="18"/>
      <c r="L234" s="19">
        <f>SUM(F234:K234)</f>
        <v>67124.3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11351.2</v>
      </c>
      <c r="G238" s="18">
        <v>6634.83</v>
      </c>
      <c r="H238" s="18">
        <v>94.74</v>
      </c>
      <c r="I238" s="18"/>
      <c r="J238" s="18"/>
      <c r="K238" s="18"/>
      <c r="L238" s="19">
        <f t="shared" ref="L238:L244" si="4">SUM(F238:K238)</f>
        <v>18080.77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3920</v>
      </c>
      <c r="G240" s="18">
        <v>299.87</v>
      </c>
      <c r="H240" s="18">
        <v>103619.48</v>
      </c>
      <c r="I240" s="18"/>
      <c r="J240" s="18"/>
      <c r="K240" s="18">
        <v>1012.77</v>
      </c>
      <c r="L240" s="19">
        <f t="shared" si="4"/>
        <v>108852.12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38781.129999999997</v>
      </c>
      <c r="G244" s="18">
        <v>30202.959999999999</v>
      </c>
      <c r="H244" s="18">
        <v>8463.67</v>
      </c>
      <c r="I244" s="18">
        <v>25995.65</v>
      </c>
      <c r="J244" s="18"/>
      <c r="K244" s="18"/>
      <c r="L244" s="19">
        <f t="shared" si="4"/>
        <v>103443.41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226.4</v>
      </c>
      <c r="I245" s="18"/>
      <c r="J245" s="18"/>
      <c r="K245" s="18"/>
      <c r="L245" s="19">
        <f>SUM(F245:K245)</f>
        <v>226.4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54052.33</v>
      </c>
      <c r="G247" s="41">
        <f t="shared" si="5"/>
        <v>37137.659999999996</v>
      </c>
      <c r="H247" s="41">
        <f t="shared" si="5"/>
        <v>2422245.59</v>
      </c>
      <c r="I247" s="41">
        <f t="shared" si="5"/>
        <v>25995.65</v>
      </c>
      <c r="J247" s="41">
        <f t="shared" si="5"/>
        <v>0</v>
      </c>
      <c r="K247" s="41">
        <f t="shared" si="5"/>
        <v>1012.77</v>
      </c>
      <c r="L247" s="41">
        <f t="shared" si="5"/>
        <v>2540444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2715616.6700000004</v>
      </c>
      <c r="G257" s="41">
        <f t="shared" si="8"/>
        <v>1370171.1299999997</v>
      </c>
      <c r="H257" s="41">
        <f t="shared" si="8"/>
        <v>3002550.65</v>
      </c>
      <c r="I257" s="41">
        <f t="shared" si="8"/>
        <v>260034.84</v>
      </c>
      <c r="J257" s="41">
        <f t="shared" si="8"/>
        <v>54269.380000000005</v>
      </c>
      <c r="K257" s="41">
        <f t="shared" si="8"/>
        <v>4493.6499999999996</v>
      </c>
      <c r="L257" s="41">
        <f t="shared" si="8"/>
        <v>7407136.3200000003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12890.43</v>
      </c>
      <c r="L263" s="19">
        <f>SUM(F263:K263)</f>
        <v>12890.43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15000</v>
      </c>
      <c r="L266" s="19">
        <f t="shared" si="9"/>
        <v>15000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27890.43</v>
      </c>
      <c r="L270" s="41">
        <f t="shared" si="9"/>
        <v>27890.43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2715616.6700000004</v>
      </c>
      <c r="G271" s="42">
        <f t="shared" si="11"/>
        <v>1370171.1299999997</v>
      </c>
      <c r="H271" s="42">
        <f t="shared" si="11"/>
        <v>3002550.65</v>
      </c>
      <c r="I271" s="42">
        <f t="shared" si="11"/>
        <v>260034.84</v>
      </c>
      <c r="J271" s="42">
        <f t="shared" si="11"/>
        <v>54269.380000000005</v>
      </c>
      <c r="K271" s="42">
        <f t="shared" si="11"/>
        <v>32384.080000000002</v>
      </c>
      <c r="L271" s="42">
        <f t="shared" si="11"/>
        <v>7435026.75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60393.64</v>
      </c>
      <c r="G276" s="18">
        <v>32916.839999999997</v>
      </c>
      <c r="H276" s="18">
        <v>0</v>
      </c>
      <c r="I276" s="18">
        <v>3889.33</v>
      </c>
      <c r="J276" s="18">
        <v>6563.7</v>
      </c>
      <c r="K276" s="18"/>
      <c r="L276" s="19">
        <f>SUM(F276:K276)</f>
        <v>103763.51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23033.16</v>
      </c>
      <c r="G277" s="18">
        <v>9921.23</v>
      </c>
      <c r="H277" s="18">
        <v>0</v>
      </c>
      <c r="I277" s="18">
        <v>110.89</v>
      </c>
      <c r="J277" s="18">
        <v>7291.87</v>
      </c>
      <c r="K277" s="18"/>
      <c r="L277" s="19">
        <f>SUM(F277:K277)</f>
        <v>40357.15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4900</v>
      </c>
      <c r="G281" s="18">
        <v>1053.55</v>
      </c>
      <c r="H281" s="18">
        <v>1664.86</v>
      </c>
      <c r="I281" s="18"/>
      <c r="J281" s="18"/>
      <c r="K281" s="18"/>
      <c r="L281" s="19">
        <f t="shared" ref="L281:L287" si="12">SUM(F281:K281)</f>
        <v>7618.41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7850.56</v>
      </c>
      <c r="I282" s="18"/>
      <c r="J282" s="18"/>
      <c r="K282" s="18"/>
      <c r="L282" s="19">
        <f t="shared" si="12"/>
        <v>7850.56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88326.8</v>
      </c>
      <c r="G290" s="42">
        <f t="shared" si="13"/>
        <v>43891.619999999995</v>
      </c>
      <c r="H290" s="42">
        <f t="shared" si="13"/>
        <v>9515.42</v>
      </c>
      <c r="I290" s="42">
        <f t="shared" si="13"/>
        <v>4000.22</v>
      </c>
      <c r="J290" s="42">
        <f t="shared" si="13"/>
        <v>13855.57</v>
      </c>
      <c r="K290" s="42">
        <f t="shared" si="13"/>
        <v>0</v>
      </c>
      <c r="L290" s="41">
        <f t="shared" si="13"/>
        <v>159589.63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88326.8</v>
      </c>
      <c r="G338" s="41">
        <f t="shared" si="20"/>
        <v>43891.619999999995</v>
      </c>
      <c r="H338" s="41">
        <f t="shared" si="20"/>
        <v>9515.42</v>
      </c>
      <c r="I338" s="41">
        <f t="shared" si="20"/>
        <v>4000.22</v>
      </c>
      <c r="J338" s="41">
        <f t="shared" si="20"/>
        <v>13855.57</v>
      </c>
      <c r="K338" s="41">
        <f t="shared" si="20"/>
        <v>0</v>
      </c>
      <c r="L338" s="41">
        <f t="shared" si="20"/>
        <v>159589.63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88326.8</v>
      </c>
      <c r="G352" s="41">
        <f>G338</f>
        <v>43891.619999999995</v>
      </c>
      <c r="H352" s="41">
        <f>H338</f>
        <v>9515.42</v>
      </c>
      <c r="I352" s="41">
        <f>I338</f>
        <v>4000.22</v>
      </c>
      <c r="J352" s="41">
        <f>J338</f>
        <v>13855.57</v>
      </c>
      <c r="K352" s="47">
        <f>K338+K351</f>
        <v>0</v>
      </c>
      <c r="L352" s="41">
        <f>L338+L351</f>
        <v>159589.63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53720.66</v>
      </c>
      <c r="G358" s="18">
        <v>29739.61</v>
      </c>
      <c r="H358" s="18">
        <v>1254.04</v>
      </c>
      <c r="I358" s="18">
        <v>56607.24</v>
      </c>
      <c r="J358" s="18">
        <f>567.94+711.68</f>
        <v>1279.6199999999999</v>
      </c>
      <c r="K358" s="18"/>
      <c r="L358" s="13">
        <f>SUM(F358:K358)</f>
        <v>142601.16999999998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53720.66</v>
      </c>
      <c r="G362" s="47">
        <f t="shared" si="22"/>
        <v>29739.61</v>
      </c>
      <c r="H362" s="47">
        <f t="shared" si="22"/>
        <v>1254.04</v>
      </c>
      <c r="I362" s="47">
        <f t="shared" si="22"/>
        <v>56607.24</v>
      </c>
      <c r="J362" s="47">
        <f t="shared" si="22"/>
        <v>1279.6199999999999</v>
      </c>
      <c r="K362" s="47">
        <f t="shared" si="22"/>
        <v>0</v>
      </c>
      <c r="L362" s="47">
        <f t="shared" si="22"/>
        <v>142601.16999999998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51082.14</v>
      </c>
      <c r="G367" s="18"/>
      <c r="H367" s="18"/>
      <c r="I367" s="56">
        <f>SUM(F367:H367)</f>
        <v>51082.14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5525.1</v>
      </c>
      <c r="G368" s="63"/>
      <c r="H368" s="63"/>
      <c r="I368" s="56">
        <f>SUM(F368:H368)</f>
        <v>5525.1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56607.24</v>
      </c>
      <c r="G369" s="47">
        <f>SUM(G367:G368)</f>
        <v>0</v>
      </c>
      <c r="H369" s="47">
        <f>SUM(H367:H368)</f>
        <v>0</v>
      </c>
      <c r="I369" s="47">
        <f>SUM(I367:I368)</f>
        <v>56607.24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15000</v>
      </c>
      <c r="H390" s="18">
        <v>115.57</v>
      </c>
      <c r="I390" s="18"/>
      <c r="J390" s="24" t="s">
        <v>289</v>
      </c>
      <c r="K390" s="24" t="s">
        <v>289</v>
      </c>
      <c r="L390" s="56">
        <f t="shared" si="25"/>
        <v>15115.57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0</v>
      </c>
      <c r="H392" s="18">
        <v>0.24</v>
      </c>
      <c r="I392" s="18"/>
      <c r="J392" s="24" t="s">
        <v>289</v>
      </c>
      <c r="K392" s="24" t="s">
        <v>289</v>
      </c>
      <c r="L392" s="56">
        <f t="shared" si="25"/>
        <v>0.24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115.80999999999999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15115.81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0</v>
      </c>
      <c r="H396" s="18">
        <v>46.19</v>
      </c>
      <c r="I396" s="18"/>
      <c r="J396" s="24" t="s">
        <v>289</v>
      </c>
      <c r="K396" s="24" t="s">
        <v>289</v>
      </c>
      <c r="L396" s="56">
        <f t="shared" si="26"/>
        <v>46.19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>
        <v>70.97</v>
      </c>
      <c r="I397" s="18"/>
      <c r="J397" s="24" t="s">
        <v>289</v>
      </c>
      <c r="K397" s="24" t="s">
        <v>289</v>
      </c>
      <c r="L397" s="56">
        <f t="shared" si="26"/>
        <v>70.97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117.16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117.16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15000</v>
      </c>
      <c r="H408" s="47">
        <f>H393+H401+H407</f>
        <v>232.96999999999997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15232.97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24100</v>
      </c>
      <c r="L422" s="56">
        <f t="shared" si="29"/>
        <v>24100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24100</v>
      </c>
      <c r="L427" s="47">
        <f t="shared" si="30"/>
        <v>24100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24100</v>
      </c>
      <c r="L434" s="47">
        <f t="shared" si="32"/>
        <v>24100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68006.66</v>
      </c>
      <c r="G439" s="18">
        <v>133949.68</v>
      </c>
      <c r="H439" s="18"/>
      <c r="I439" s="56">
        <f t="shared" ref="I439:I445" si="33">SUM(F439:H439)</f>
        <v>201956.34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68006.66</v>
      </c>
      <c r="G446" s="13">
        <f>SUM(G439:G445)</f>
        <v>133949.68</v>
      </c>
      <c r="H446" s="13">
        <f>SUM(H439:H445)</f>
        <v>0</v>
      </c>
      <c r="I446" s="13">
        <f>SUM(I439:I445)</f>
        <v>201956.34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68006.66</v>
      </c>
      <c r="G459" s="18">
        <v>133949.68</v>
      </c>
      <c r="H459" s="18"/>
      <c r="I459" s="56">
        <f t="shared" si="34"/>
        <v>201956.34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68006.66</v>
      </c>
      <c r="G460" s="83">
        <f>SUM(G454:G459)</f>
        <v>133949.68</v>
      </c>
      <c r="H460" s="83">
        <f>SUM(H454:H459)</f>
        <v>0</v>
      </c>
      <c r="I460" s="83">
        <f>SUM(I454:I459)</f>
        <v>201956.34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68006.66</v>
      </c>
      <c r="G461" s="42">
        <f>G452+G460</f>
        <v>133949.68</v>
      </c>
      <c r="H461" s="42">
        <f>H452+H460</f>
        <v>0</v>
      </c>
      <c r="I461" s="42">
        <f>I452+I460</f>
        <v>201956.34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434618.24</v>
      </c>
      <c r="G465" s="18">
        <v>517.79999999999995</v>
      </c>
      <c r="H465" s="18">
        <v>1808.02</v>
      </c>
      <c r="I465" s="18"/>
      <c r="J465" s="18">
        <v>210823.37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7455482.5099999998</v>
      </c>
      <c r="G468" s="18">
        <f>141889.49+711.68</f>
        <v>142601.16999999998</v>
      </c>
      <c r="H468" s="18">
        <f>159592.42</f>
        <v>159592.42000000001</v>
      </c>
      <c r="I468" s="18"/>
      <c r="J468" s="18">
        <v>15232.97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7455482.5099999998</v>
      </c>
      <c r="G470" s="53">
        <f>SUM(G468:G469)</f>
        <v>142601.16999999998</v>
      </c>
      <c r="H470" s="53">
        <f>SUM(H468:H469)</f>
        <v>159592.42000000001</v>
      </c>
      <c r="I470" s="53">
        <f>SUM(I468:I469)</f>
        <v>0</v>
      </c>
      <c r="J470" s="53">
        <f>SUM(J468:J469)</f>
        <v>15232.97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7435026.75</v>
      </c>
      <c r="G472" s="18">
        <f>141889.49+711.68</f>
        <v>142601.16999999998</v>
      </c>
      <c r="H472" s="18">
        <v>159589.63</v>
      </c>
      <c r="I472" s="18"/>
      <c r="J472" s="18">
        <v>24100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7435026.75</v>
      </c>
      <c r="G474" s="53">
        <f>SUM(G472:G473)</f>
        <v>142601.16999999998</v>
      </c>
      <c r="H474" s="53">
        <f>SUM(H472:H473)</f>
        <v>159589.63</v>
      </c>
      <c r="I474" s="53">
        <f>SUM(I472:I473)</f>
        <v>0</v>
      </c>
      <c r="J474" s="53">
        <f>SUM(J472:J473)</f>
        <v>24100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455074</v>
      </c>
      <c r="G476" s="53">
        <f>(G465+G470)- G474</f>
        <v>517.79999999998836</v>
      </c>
      <c r="H476" s="53">
        <f>(H465+H470)- H474</f>
        <v>1810.8099999999977</v>
      </c>
      <c r="I476" s="53">
        <f>(I465+I470)- I474</f>
        <v>0</v>
      </c>
      <c r="J476" s="53">
        <f>(J465+J470)- J474</f>
        <v>201956.34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431702.2</v>
      </c>
      <c r="G521" s="18">
        <v>283481.46999999997</v>
      </c>
      <c r="H521" s="18">
        <v>114719.47</v>
      </c>
      <c r="I521" s="18">
        <v>1389.4</v>
      </c>
      <c r="J521" s="18">
        <v>7291.87</v>
      </c>
      <c r="K521" s="18"/>
      <c r="L521" s="88">
        <f>SUM(F521:K521)</f>
        <v>838584.40999999992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67124.3</v>
      </c>
      <c r="I523" s="18"/>
      <c r="J523" s="18"/>
      <c r="K523" s="18"/>
      <c r="L523" s="88">
        <f>SUM(F523:K523)</f>
        <v>67124.3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431702.2</v>
      </c>
      <c r="G524" s="108">
        <f t="shared" ref="G524:L524" si="36">SUM(G521:G523)</f>
        <v>283481.46999999997</v>
      </c>
      <c r="H524" s="108">
        <f t="shared" si="36"/>
        <v>181843.77000000002</v>
      </c>
      <c r="I524" s="108">
        <f t="shared" si="36"/>
        <v>1389.4</v>
      </c>
      <c r="J524" s="108">
        <f t="shared" si="36"/>
        <v>7291.87</v>
      </c>
      <c r="K524" s="108">
        <f t="shared" si="36"/>
        <v>0</v>
      </c>
      <c r="L524" s="89">
        <f t="shared" si="36"/>
        <v>905708.71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129476.68</v>
      </c>
      <c r="G526" s="18">
        <v>72049.66</v>
      </c>
      <c r="H526" s="18">
        <v>13815.46</v>
      </c>
      <c r="I526" s="18">
        <v>399.03</v>
      </c>
      <c r="J526" s="18"/>
      <c r="K526" s="18"/>
      <c r="L526" s="88">
        <f>SUM(F526:K526)</f>
        <v>215740.83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129476.68</v>
      </c>
      <c r="G529" s="89">
        <f t="shared" ref="G529:L529" si="37">SUM(G526:G528)</f>
        <v>72049.66</v>
      </c>
      <c r="H529" s="89">
        <f t="shared" si="37"/>
        <v>13815.46</v>
      </c>
      <c r="I529" s="89">
        <f t="shared" si="37"/>
        <v>399.03</v>
      </c>
      <c r="J529" s="89">
        <f t="shared" si="37"/>
        <v>0</v>
      </c>
      <c r="K529" s="89">
        <f t="shared" si="37"/>
        <v>0</v>
      </c>
      <c r="L529" s="89">
        <f t="shared" si="37"/>
        <v>215740.83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31411.83</v>
      </c>
      <c r="I531" s="18"/>
      <c r="J531" s="18"/>
      <c r="K531" s="18"/>
      <c r="L531" s="88">
        <f>SUM(F531:K531)</f>
        <v>31411.83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16914.07</v>
      </c>
      <c r="I533" s="18"/>
      <c r="J533" s="18"/>
      <c r="K533" s="18"/>
      <c r="L533" s="88">
        <f>SUM(F533:K533)</f>
        <v>16914.07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48325.9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48325.9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561178.88</v>
      </c>
      <c r="G545" s="89">
        <f t="shared" ref="G545:L545" si="41">G524+G529+G534+G539+G544</f>
        <v>355531.13</v>
      </c>
      <c r="H545" s="89">
        <f t="shared" si="41"/>
        <v>243985.13</v>
      </c>
      <c r="I545" s="89">
        <f t="shared" si="41"/>
        <v>1788.43</v>
      </c>
      <c r="J545" s="89">
        <f t="shared" si="41"/>
        <v>7291.87</v>
      </c>
      <c r="K545" s="89">
        <f t="shared" si="41"/>
        <v>0</v>
      </c>
      <c r="L545" s="89">
        <f t="shared" si="41"/>
        <v>1169775.44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838584.40999999992</v>
      </c>
      <c r="G549" s="87">
        <f>L526</f>
        <v>215740.83</v>
      </c>
      <c r="H549" s="87">
        <f>L531</f>
        <v>31411.83</v>
      </c>
      <c r="I549" s="87">
        <f>L536</f>
        <v>0</v>
      </c>
      <c r="J549" s="87">
        <f>L541</f>
        <v>0</v>
      </c>
      <c r="K549" s="87">
        <f>SUM(F549:J549)</f>
        <v>1085737.07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67124.3</v>
      </c>
      <c r="G551" s="87">
        <f>L528</f>
        <v>0</v>
      </c>
      <c r="H551" s="87">
        <f>L533</f>
        <v>16914.07</v>
      </c>
      <c r="I551" s="87">
        <f>L538</f>
        <v>0</v>
      </c>
      <c r="J551" s="87">
        <f>L543</f>
        <v>0</v>
      </c>
      <c r="K551" s="87">
        <f>SUM(F551:J551)</f>
        <v>84038.37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905708.71</v>
      </c>
      <c r="G552" s="89">
        <f t="shared" si="42"/>
        <v>215740.83</v>
      </c>
      <c r="H552" s="89">
        <f t="shared" si="42"/>
        <v>48325.9</v>
      </c>
      <c r="I552" s="89">
        <f t="shared" si="42"/>
        <v>0</v>
      </c>
      <c r="J552" s="89">
        <f t="shared" si="42"/>
        <v>0</v>
      </c>
      <c r="K552" s="89">
        <f t="shared" si="42"/>
        <v>1169775.44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2242717</v>
      </c>
      <c r="I575" s="87">
        <f>SUM(F575:H575)</f>
        <v>2242717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49887</v>
      </c>
      <c r="G579" s="18"/>
      <c r="H579" s="18">
        <v>67124.3</v>
      </c>
      <c r="I579" s="87">
        <f t="shared" si="47"/>
        <v>117011.3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35080.68</v>
      </c>
      <c r="G582" s="18"/>
      <c r="H582" s="18"/>
      <c r="I582" s="87">
        <f t="shared" si="47"/>
        <v>35080.68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156125.10999999999</v>
      </c>
      <c r="I591" s="18"/>
      <c r="J591" s="18">
        <v>103443.41</v>
      </c>
      <c r="K591" s="104">
        <f t="shared" ref="K591:K597" si="48">SUM(H591:J591)</f>
        <v>259568.52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4195.72</v>
      </c>
      <c r="I594" s="18"/>
      <c r="J594" s="18"/>
      <c r="K594" s="104">
        <f t="shared" si="48"/>
        <v>4195.72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9806.99</v>
      </c>
      <c r="I595" s="18"/>
      <c r="J595" s="18"/>
      <c r="K595" s="104">
        <f t="shared" si="48"/>
        <v>9806.99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170127.81999999998</v>
      </c>
      <c r="I598" s="108">
        <f>SUM(I591:I597)</f>
        <v>0</v>
      </c>
      <c r="J598" s="108">
        <f>SUM(J591:J597)</f>
        <v>103443.41</v>
      </c>
      <c r="K598" s="108">
        <f>SUM(K591:K597)</f>
        <v>273571.23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68124.95</f>
        <v>68124.95</v>
      </c>
      <c r="I604" s="18"/>
      <c r="J604" s="18"/>
      <c r="K604" s="104">
        <f>SUM(H604:J604)</f>
        <v>68124.95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68124.95</v>
      </c>
      <c r="I605" s="108">
        <f>SUM(I602:I604)</f>
        <v>0</v>
      </c>
      <c r="J605" s="108">
        <f>SUM(J602:J604)</f>
        <v>0</v>
      </c>
      <c r="K605" s="108">
        <f>SUM(K602:K604)</f>
        <v>68124.95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3300</v>
      </c>
      <c r="G611" s="18">
        <v>739.51</v>
      </c>
      <c r="H611" s="18"/>
      <c r="I611" s="18">
        <v>619.85</v>
      </c>
      <c r="J611" s="18"/>
      <c r="K611" s="18"/>
      <c r="L611" s="88">
        <f>SUM(F611:K611)</f>
        <v>4659.3600000000006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3300</v>
      </c>
      <c r="G614" s="108">
        <f t="shared" si="49"/>
        <v>739.51</v>
      </c>
      <c r="H614" s="108">
        <f t="shared" si="49"/>
        <v>0</v>
      </c>
      <c r="I614" s="108">
        <f t="shared" si="49"/>
        <v>619.85</v>
      </c>
      <c r="J614" s="108">
        <f t="shared" si="49"/>
        <v>0</v>
      </c>
      <c r="K614" s="108">
        <f t="shared" si="49"/>
        <v>0</v>
      </c>
      <c r="L614" s="89">
        <f t="shared" si="49"/>
        <v>4659.3600000000006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526057.93999999994</v>
      </c>
      <c r="H617" s="109">
        <f>SUM(F52)</f>
        <v>526057.93999999994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84199.2</v>
      </c>
      <c r="H618" s="109">
        <f>SUM(G52)</f>
        <v>84199.200000000012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29165.17</v>
      </c>
      <c r="H619" s="109">
        <f>SUM(H52)</f>
        <v>29165.170000000002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201956.34</v>
      </c>
      <c r="H621" s="109">
        <f>SUM(J52)</f>
        <v>201956.34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455074</v>
      </c>
      <c r="H622" s="109">
        <f>F476</f>
        <v>455074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517.79999999999995</v>
      </c>
      <c r="H623" s="109">
        <f>G476</f>
        <v>517.79999999998836</v>
      </c>
      <c r="I623" s="121" t="s">
        <v>102</v>
      </c>
      <c r="J623" s="109">
        <f t="shared" si="50"/>
        <v>1.1596057447604835E-11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1810.81</v>
      </c>
      <c r="H624" s="109">
        <f>H476</f>
        <v>1810.8099999999977</v>
      </c>
      <c r="I624" s="121" t="s">
        <v>103</v>
      </c>
      <c r="J624" s="109">
        <f t="shared" si="50"/>
        <v>2.2737367544323206E-12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201956.34</v>
      </c>
      <c r="H626" s="109">
        <f>J476</f>
        <v>201956.34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7455482.5099999998</v>
      </c>
      <c r="H627" s="104">
        <f>SUM(F468)</f>
        <v>7455482.5099999998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142601.17000000001</v>
      </c>
      <c r="H628" s="104">
        <f>SUM(G468)</f>
        <v>142601.16999999998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159592.42000000001</v>
      </c>
      <c r="H629" s="104">
        <f>SUM(H468)</f>
        <v>159592.42000000001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15232.97</v>
      </c>
      <c r="H631" s="104">
        <f>SUM(J468)</f>
        <v>15232.97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7435026.75</v>
      </c>
      <c r="H632" s="104">
        <f>SUM(F472)</f>
        <v>7435026.75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159589.63</v>
      </c>
      <c r="H633" s="104">
        <f>SUM(H472)</f>
        <v>159589.63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56607.24</v>
      </c>
      <c r="H634" s="104">
        <f>I369</f>
        <v>56607.24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142601.16999999998</v>
      </c>
      <c r="H635" s="104">
        <f>SUM(G472)</f>
        <v>142601.16999999998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15232.97</v>
      </c>
      <c r="H637" s="164">
        <f>SUM(J468)</f>
        <v>15232.97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24100</v>
      </c>
      <c r="H638" s="164">
        <f>SUM(J472)</f>
        <v>24100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68006.66</v>
      </c>
      <c r="H639" s="104">
        <f>SUM(F461)</f>
        <v>68006.66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133949.68</v>
      </c>
      <c r="H640" s="104">
        <f>SUM(G461)</f>
        <v>133949.68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201956.34</v>
      </c>
      <c r="H642" s="104">
        <f>SUM(I461)</f>
        <v>201956.34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232.97</v>
      </c>
      <c r="H644" s="104">
        <f>H408</f>
        <v>232.96999999999997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15000</v>
      </c>
      <c r="H645" s="104">
        <f>G408</f>
        <v>15000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15232.97</v>
      </c>
      <c r="H646" s="104">
        <f>L408</f>
        <v>15232.97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273571.23</v>
      </c>
      <c r="H647" s="104">
        <f>L208+L226+L244</f>
        <v>273571.23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68124.95</v>
      </c>
      <c r="H648" s="104">
        <f>(J257+J338)-(J255+J336)</f>
        <v>68124.950000000012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170127.82</v>
      </c>
      <c r="H649" s="104">
        <f>H598</f>
        <v>170127.81999999998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103443.41</v>
      </c>
      <c r="H651" s="104">
        <f>J598</f>
        <v>103443.41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12890.43</v>
      </c>
      <c r="H652" s="104">
        <f>K263+K345</f>
        <v>12890.43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15000</v>
      </c>
      <c r="H655" s="104">
        <f>K266+K347</f>
        <v>15000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5168883.12</v>
      </c>
      <c r="G660" s="19">
        <f>(L229+L309+L359)</f>
        <v>0</v>
      </c>
      <c r="H660" s="19">
        <f>(L247+L328+L360)</f>
        <v>2540444</v>
      </c>
      <c r="I660" s="19">
        <f>SUM(F660:H660)</f>
        <v>7709327.1200000001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75945.850000000006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75945.850000000006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170127.82</v>
      </c>
      <c r="G662" s="19">
        <f>(L226+L306)-(J226+J306)</f>
        <v>0</v>
      </c>
      <c r="H662" s="19">
        <f>(L244+L325)-(J244+J325)</f>
        <v>103443.41</v>
      </c>
      <c r="I662" s="19">
        <f>SUM(F662:H662)</f>
        <v>273571.23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157751.99</v>
      </c>
      <c r="G663" s="199">
        <f>SUM(G575:G587)+SUM(I602:I604)+L612</f>
        <v>0</v>
      </c>
      <c r="H663" s="199">
        <f>SUM(H575:H587)+SUM(J602:J604)+L613</f>
        <v>2309841.2999999998</v>
      </c>
      <c r="I663" s="19">
        <f>SUM(F663:H663)</f>
        <v>2467593.29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4765057.46</v>
      </c>
      <c r="G664" s="19">
        <f>G660-SUM(G661:G663)</f>
        <v>0</v>
      </c>
      <c r="H664" s="19">
        <f>H660-SUM(H661:H663)</f>
        <v>127159.29000000004</v>
      </c>
      <c r="I664" s="19">
        <f>I660-SUM(I661:I663)</f>
        <v>4892216.75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213.2</v>
      </c>
      <c r="G665" s="248"/>
      <c r="H665" s="248"/>
      <c r="I665" s="19">
        <f>SUM(F665:H665)</f>
        <v>213.2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22350.18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22946.61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-127159.29</v>
      </c>
      <c r="I669" s="19">
        <f>SUM(F669:H669)</f>
        <v>-127159.29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22350.18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22350.18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    BARTLETT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1578878.8199999998</v>
      </c>
      <c r="C9" s="229">
        <f>'DOE25'!G197+'DOE25'!G215+'DOE25'!G233+'DOE25'!G276+'DOE25'!G295+'DOE25'!G314</f>
        <v>689381.77999999991</v>
      </c>
    </row>
    <row r="10" spans="1:3" x14ac:dyDescent="0.2">
      <c r="A10" t="s">
        <v>779</v>
      </c>
      <c r="B10" s="240">
        <v>1469185.64</v>
      </c>
      <c r="C10" s="240">
        <v>643618.19999999995</v>
      </c>
    </row>
    <row r="11" spans="1:3" x14ac:dyDescent="0.2">
      <c r="A11" t="s">
        <v>780</v>
      </c>
      <c r="B11" s="240">
        <v>37355.75</v>
      </c>
      <c r="C11" s="240">
        <v>26546.45</v>
      </c>
    </row>
    <row r="12" spans="1:3" x14ac:dyDescent="0.2">
      <c r="A12" t="s">
        <v>781</v>
      </c>
      <c r="B12" s="240">
        <v>72337.429999999993</v>
      </c>
      <c r="C12" s="240">
        <v>19217.13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1578878.8199999998</v>
      </c>
      <c r="C13" s="231">
        <f>SUM(C10:C12)</f>
        <v>689381.77999999991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431702.19999999995</v>
      </c>
      <c r="C18" s="229">
        <f>'DOE25'!G198+'DOE25'!G216+'DOE25'!G234+'DOE25'!G277+'DOE25'!G296+'DOE25'!G315</f>
        <v>283481.46999999997</v>
      </c>
    </row>
    <row r="19" spans="1:3" x14ac:dyDescent="0.2">
      <c r="A19" t="s">
        <v>779</v>
      </c>
      <c r="B19" s="240">
        <v>233317</v>
      </c>
      <c r="C19" s="240">
        <v>118032.28</v>
      </c>
    </row>
    <row r="20" spans="1:3" x14ac:dyDescent="0.2">
      <c r="A20" t="s">
        <v>780</v>
      </c>
      <c r="B20" s="240">
        <v>198385.2</v>
      </c>
      <c r="C20" s="240">
        <v>165449.19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431702.2</v>
      </c>
      <c r="C22" s="231">
        <f>SUM(C19:C21)</f>
        <v>283481.46999999997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50900</v>
      </c>
      <c r="C36" s="235">
        <f>'DOE25'!G200+'DOE25'!G218+'DOE25'!G236+'DOE25'!G279+'DOE25'!G298+'DOE25'!G317</f>
        <v>9733.16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50900</v>
      </c>
      <c r="C39" s="240">
        <v>9733.16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50900</v>
      </c>
      <c r="C40" s="231">
        <f>SUM(C37:C39)</f>
        <v>9733.16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5" sqref="D1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 xml:space="preserve">                    BARTLETT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5457464.1400000006</v>
      </c>
      <c r="D5" s="20">
        <f>SUM('DOE25'!L197:L200)+SUM('DOE25'!L215:L218)+SUM('DOE25'!L233:L236)-F5-G5</f>
        <v>5439708.5700000003</v>
      </c>
      <c r="E5" s="243"/>
      <c r="F5" s="255">
        <f>SUM('DOE25'!J197:J200)+SUM('DOE25'!J215:J218)+SUM('DOE25'!J233:J236)</f>
        <v>17755.57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443448.93</v>
      </c>
      <c r="D6" s="20">
        <f>'DOE25'!L202+'DOE25'!L220+'DOE25'!L238-F6-G6</f>
        <v>443271.54</v>
      </c>
      <c r="E6" s="243"/>
      <c r="F6" s="255">
        <f>'DOE25'!J202+'DOE25'!J220+'DOE25'!J238</f>
        <v>177.39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94203.22</v>
      </c>
      <c r="D7" s="20">
        <f>'DOE25'!L203+'DOE25'!L221+'DOE25'!L239-F7-G7</f>
        <v>94203.22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197605.53999999995</v>
      </c>
      <c r="D8" s="243"/>
      <c r="E8" s="20">
        <f>'DOE25'!L204+'DOE25'!L222+'DOE25'!L240-F8-G8-D9-D11</f>
        <v>194711.88999999996</v>
      </c>
      <c r="F8" s="255">
        <f>'DOE25'!J204+'DOE25'!J222+'DOE25'!J240</f>
        <v>0</v>
      </c>
      <c r="G8" s="53">
        <f>'DOE25'!K204+'DOE25'!K222+'DOE25'!K240</f>
        <v>2893.65</v>
      </c>
      <c r="H8" s="259"/>
    </row>
    <row r="9" spans="1:9" x14ac:dyDescent="0.2">
      <c r="A9" s="32">
        <v>2310</v>
      </c>
      <c r="B9" t="s">
        <v>818</v>
      </c>
      <c r="C9" s="245">
        <f t="shared" si="0"/>
        <v>35881.089999999997</v>
      </c>
      <c r="D9" s="244">
        <v>35881.089999999997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7195</v>
      </c>
      <c r="D10" s="243"/>
      <c r="E10" s="244">
        <v>7195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77519.460000000006</v>
      </c>
      <c r="D11" s="244">
        <v>77519.460000000006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306110.44000000006</v>
      </c>
      <c r="D12" s="20">
        <f>'DOE25'!L205+'DOE25'!L223+'DOE25'!L241-F12-G12</f>
        <v>298250.54000000004</v>
      </c>
      <c r="E12" s="243"/>
      <c r="F12" s="255">
        <f>'DOE25'!J205+'DOE25'!J223+'DOE25'!J241</f>
        <v>6259.9</v>
      </c>
      <c r="G12" s="53">
        <f>'DOE25'!K205+'DOE25'!K223+'DOE25'!K241</f>
        <v>1600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520766.26999999996</v>
      </c>
      <c r="D14" s="20">
        <f>'DOE25'!L207+'DOE25'!L225+'DOE25'!L243-F14-G14</f>
        <v>490689.74999999994</v>
      </c>
      <c r="E14" s="243"/>
      <c r="F14" s="255">
        <f>'DOE25'!J207+'DOE25'!J225+'DOE25'!J243</f>
        <v>30076.52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273571.23</v>
      </c>
      <c r="D15" s="20">
        <f>'DOE25'!L208+'DOE25'!L226+'DOE25'!L244-F15-G15</f>
        <v>273571.23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566</v>
      </c>
      <c r="D16" s="243"/>
      <c r="E16" s="20">
        <f>'DOE25'!L209+'DOE25'!L227+'DOE25'!L245-F16-G16</f>
        <v>566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91519.029999999984</v>
      </c>
      <c r="D29" s="20">
        <f>'DOE25'!L358+'DOE25'!L359+'DOE25'!L360-'DOE25'!I367-F29-G29</f>
        <v>90239.409999999989</v>
      </c>
      <c r="E29" s="243"/>
      <c r="F29" s="255">
        <f>'DOE25'!J358+'DOE25'!J359+'DOE25'!J360</f>
        <v>1279.6199999999999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159589.63</v>
      </c>
      <c r="D31" s="20">
        <f>'DOE25'!L290+'DOE25'!L309+'DOE25'!L328+'DOE25'!L333+'DOE25'!L334+'DOE25'!L335-F31-G31</f>
        <v>145734.06</v>
      </c>
      <c r="E31" s="243"/>
      <c r="F31" s="255">
        <f>'DOE25'!J290+'DOE25'!J309+'DOE25'!J328+'DOE25'!J333+'DOE25'!J334+'DOE25'!J335</f>
        <v>13855.57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7389068.8700000001</v>
      </c>
      <c r="E33" s="246">
        <f>SUM(E5:E31)</f>
        <v>202472.88999999996</v>
      </c>
      <c r="F33" s="246">
        <f>SUM(F5:F31)</f>
        <v>69404.570000000007</v>
      </c>
      <c r="G33" s="246">
        <f>SUM(G5:G31)</f>
        <v>4493.6499999999996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202472.88999999996</v>
      </c>
      <c r="E35" s="249"/>
    </row>
    <row r="36" spans="2:8" ht="12" thickTop="1" x14ac:dyDescent="0.2">
      <c r="B36" t="s">
        <v>815</v>
      </c>
      <c r="D36" s="20">
        <f>D33</f>
        <v>7389068.8700000001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   BARTLETT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342829.49</v>
      </c>
      <c r="D8" s="95">
        <f>'DOE25'!G9</f>
        <v>56971.13</v>
      </c>
      <c r="E8" s="95">
        <f>'DOE25'!H9</f>
        <v>0</v>
      </c>
      <c r="F8" s="95">
        <f>'DOE25'!I9</f>
        <v>0</v>
      </c>
      <c r="G8" s="95">
        <f>'DOE25'!J9</f>
        <v>201956.34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110814.63</v>
      </c>
      <c r="D11" s="95">
        <f>'DOE25'!G12</f>
        <v>12983.68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1513.82</v>
      </c>
      <c r="D12" s="95">
        <f>'DOE25'!G13</f>
        <v>13694.93</v>
      </c>
      <c r="E12" s="95">
        <f>'DOE25'!H13</f>
        <v>29165.17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549.46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70900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526057.93999999994</v>
      </c>
      <c r="D18" s="41">
        <f>SUM(D8:D17)</f>
        <v>84199.2</v>
      </c>
      <c r="E18" s="41">
        <f>SUM(E8:E17)</f>
        <v>29165.17</v>
      </c>
      <c r="F18" s="41">
        <f>SUM(F8:F17)</f>
        <v>0</v>
      </c>
      <c r="G18" s="41">
        <f>SUM(G8:G17)</f>
        <v>201956.34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83460.27</v>
      </c>
      <c r="E21" s="95">
        <f>'DOE25'!H22</f>
        <v>27354.36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42291.03</v>
      </c>
      <c r="D23" s="95">
        <f>'DOE25'!G24</f>
        <v>221.13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4981.3500000000004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23711.56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70983.94</v>
      </c>
      <c r="D31" s="41">
        <f>SUM(D21:D30)</f>
        <v>83681.400000000009</v>
      </c>
      <c r="E31" s="41">
        <f>SUM(E21:E30)</f>
        <v>27354.36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517.79999999999995</v>
      </c>
      <c r="E47" s="95">
        <f>'DOE25'!H48</f>
        <v>1810.81</v>
      </c>
      <c r="F47" s="95">
        <f>'DOE25'!I48</f>
        <v>0</v>
      </c>
      <c r="G47" s="95">
        <f>'DOE25'!J48</f>
        <v>201956.34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455074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455074</v>
      </c>
      <c r="D50" s="41">
        <f>SUM(D34:D49)</f>
        <v>517.79999999999995</v>
      </c>
      <c r="E50" s="41">
        <f>SUM(E34:E49)</f>
        <v>1810.81</v>
      </c>
      <c r="F50" s="41">
        <f>SUM(F34:F49)</f>
        <v>0</v>
      </c>
      <c r="G50" s="41">
        <f>SUM(G34:G49)</f>
        <v>201956.34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526057.93999999994</v>
      </c>
      <c r="D51" s="41">
        <f>D50+D31</f>
        <v>84199.200000000012</v>
      </c>
      <c r="E51" s="41">
        <f>E50+E31</f>
        <v>29165.170000000002</v>
      </c>
      <c r="F51" s="41">
        <f>F50+F31</f>
        <v>0</v>
      </c>
      <c r="G51" s="41">
        <f>G50+G31</f>
        <v>201956.34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4604712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301390.58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4.18</v>
      </c>
      <c r="E59" s="95">
        <f>'DOE25'!H96</f>
        <v>0</v>
      </c>
      <c r="F59" s="95">
        <f>'DOE25'!I96</f>
        <v>0</v>
      </c>
      <c r="G59" s="95">
        <f>'DOE25'!J96</f>
        <v>232.97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75945.850000000006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121119.68000000001</v>
      </c>
      <c r="D61" s="95">
        <f>SUM('DOE25'!G98:G110)</f>
        <v>0</v>
      </c>
      <c r="E61" s="95">
        <f>SUM('DOE25'!H98:H110)</f>
        <v>2876.85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422510.26</v>
      </c>
      <c r="D62" s="130">
        <f>SUM(D57:D61)</f>
        <v>75950.03</v>
      </c>
      <c r="E62" s="130">
        <f>SUM(E57:E61)</f>
        <v>2876.85</v>
      </c>
      <c r="F62" s="130">
        <f>SUM(F57:F61)</f>
        <v>0</v>
      </c>
      <c r="G62" s="130">
        <f>SUM(G57:G61)</f>
        <v>232.97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5027222.26</v>
      </c>
      <c r="D63" s="22">
        <f>D56+D62</f>
        <v>75950.03</v>
      </c>
      <c r="E63" s="22">
        <f>E56+E62</f>
        <v>2876.85</v>
      </c>
      <c r="F63" s="22">
        <f>F56+F62</f>
        <v>0</v>
      </c>
      <c r="G63" s="22">
        <f>G56+G62</f>
        <v>232.97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18308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2307176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2325484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1350.3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1350.3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2325484</v>
      </c>
      <c r="D81" s="130">
        <f>SUM(D79:D80)+D78+D70</f>
        <v>1350.3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4164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59926.79</v>
      </c>
      <c r="D88" s="95">
        <f>SUM('DOE25'!G153:G161)</f>
        <v>52410.41</v>
      </c>
      <c r="E88" s="95">
        <f>SUM('DOE25'!H153:H161)</f>
        <v>152551.57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18749.46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78676.25</v>
      </c>
      <c r="D91" s="131">
        <f>SUM(D85:D90)</f>
        <v>52410.41</v>
      </c>
      <c r="E91" s="131">
        <f>SUM(E85:E90)</f>
        <v>156715.57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12890.43</v>
      </c>
      <c r="E96" s="95">
        <f>'DOE25'!H179</f>
        <v>0</v>
      </c>
      <c r="F96" s="95">
        <f>'DOE25'!I179</f>
        <v>0</v>
      </c>
      <c r="G96" s="95">
        <f>'DOE25'!J179</f>
        <v>15000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24100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24100</v>
      </c>
      <c r="D103" s="86">
        <f>SUM(D93:D102)</f>
        <v>12890.43</v>
      </c>
      <c r="E103" s="86">
        <f>SUM(E93:E102)</f>
        <v>0</v>
      </c>
      <c r="F103" s="86">
        <f>SUM(F93:F102)</f>
        <v>0</v>
      </c>
      <c r="G103" s="86">
        <f>SUM(G93:G102)</f>
        <v>15000</v>
      </c>
    </row>
    <row r="104" spans="1:7" ht="12.75" thickTop="1" thickBot="1" x14ac:dyDescent="0.25">
      <c r="A104" s="33" t="s">
        <v>765</v>
      </c>
      <c r="C104" s="86">
        <f>C63+C81+C91+C103</f>
        <v>7455482.5099999998</v>
      </c>
      <c r="D104" s="86">
        <f>D63+D81+D91+D103</f>
        <v>142601.17000000001</v>
      </c>
      <c r="E104" s="86">
        <f>E63+E81+E91+E103</f>
        <v>159592.42000000001</v>
      </c>
      <c r="F104" s="86">
        <f>F63+F81+F91+F103</f>
        <v>0</v>
      </c>
      <c r="G104" s="86">
        <f>G63+G81+G103</f>
        <v>15232.97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4497416.7300000004</v>
      </c>
      <c r="D109" s="24" t="s">
        <v>289</v>
      </c>
      <c r="E109" s="95">
        <f>('DOE25'!L276)+('DOE25'!L295)+('DOE25'!L314)</f>
        <v>103763.51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865351.56</v>
      </c>
      <c r="D110" s="24" t="s">
        <v>289</v>
      </c>
      <c r="E110" s="95">
        <f>('DOE25'!L277)+('DOE25'!L296)+('DOE25'!L315)</f>
        <v>40357.15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94695.85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5457464.1400000006</v>
      </c>
      <c r="D115" s="86">
        <f>SUM(D109:D114)</f>
        <v>0</v>
      </c>
      <c r="E115" s="86">
        <f>SUM(E109:E114)</f>
        <v>144120.66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443448.93</v>
      </c>
      <c r="D118" s="24" t="s">
        <v>289</v>
      </c>
      <c r="E118" s="95">
        <f>+('DOE25'!L281)+('DOE25'!L300)+('DOE25'!L319)</f>
        <v>7618.41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94203.22</v>
      </c>
      <c r="D119" s="24" t="s">
        <v>289</v>
      </c>
      <c r="E119" s="95">
        <f>+('DOE25'!L282)+('DOE25'!L301)+('DOE25'!L320)</f>
        <v>7850.56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311006.09000000003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306110.44000000006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520766.26999999996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273571.23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566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142601.16999999998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1949672.1800000002</v>
      </c>
      <c r="D128" s="86">
        <f>SUM(D118:D127)</f>
        <v>142601.16999999998</v>
      </c>
      <c r="E128" s="86">
        <f>SUM(E118:E127)</f>
        <v>15468.970000000001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24100</v>
      </c>
    </row>
    <row r="135" spans="1:7" x14ac:dyDescent="0.2">
      <c r="A135" t="s">
        <v>233</v>
      </c>
      <c r="B135" s="32" t="s">
        <v>234</v>
      </c>
      <c r="C135" s="95">
        <f>'DOE25'!L263</f>
        <v>12890.43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15115.81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117.16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-232.96999999999935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27890.43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24100</v>
      </c>
    </row>
    <row r="145" spans="1:9" ht="12.75" thickTop="1" thickBot="1" x14ac:dyDescent="0.25">
      <c r="A145" s="33" t="s">
        <v>244</v>
      </c>
      <c r="C145" s="86">
        <f>(C115+C128+C144)</f>
        <v>7435026.75</v>
      </c>
      <c r="D145" s="86">
        <f>(D115+D128+D144)</f>
        <v>142601.16999999998</v>
      </c>
      <c r="E145" s="86">
        <f>(E115+E128+E144)</f>
        <v>159589.63</v>
      </c>
      <c r="F145" s="86">
        <f>(F115+F128+F144)</f>
        <v>0</v>
      </c>
      <c r="G145" s="86">
        <f>(G115+G128+G144)</f>
        <v>24100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 xml:space="preserve">                    BARTLETT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22350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22350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4601180</v>
      </c>
      <c r="D10" s="182">
        <f>ROUND((C10/$C$28)*100,1)</f>
        <v>60.3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905709</v>
      </c>
      <c r="D11" s="182">
        <f>ROUND((C11/$C$28)*100,1)</f>
        <v>11.9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94696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451067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102054</v>
      </c>
      <c r="D16" s="182">
        <f t="shared" si="0"/>
        <v>1.3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311572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306110</v>
      </c>
      <c r="D18" s="182">
        <f t="shared" si="0"/>
        <v>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520766</v>
      </c>
      <c r="D20" s="182">
        <f t="shared" si="0"/>
        <v>6.8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273571</v>
      </c>
      <c r="D21" s="182">
        <f t="shared" si="0"/>
        <v>3.6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66655.149999999994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7633380.1500000004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7633380.1500000004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4604712</v>
      </c>
      <c r="D35" s="182">
        <f t="shared" ref="D35:D40" si="1">ROUND((C35/$C$41)*100,1)</f>
        <v>60.2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425624.25999999978</v>
      </c>
      <c r="D36" s="182">
        <f t="shared" si="1"/>
        <v>5.6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2325484</v>
      </c>
      <c r="D37" s="182">
        <f t="shared" si="1"/>
        <v>30.4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1350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287802</v>
      </c>
      <c r="D39" s="182">
        <f t="shared" si="1"/>
        <v>3.8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7644972.2599999998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89" t="str">
        <f>'DOE25'!A2</f>
        <v xml:space="preserve">                    BARTLETT SCHOOL DISTRICT</v>
      </c>
      <c r="G2" s="290"/>
      <c r="H2" s="290"/>
      <c r="I2" s="29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07"/>
      <c r="AB29" s="207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7"/>
      <c r="AO29" s="207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7"/>
      <c r="BB29" s="207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7"/>
      <c r="BO29" s="207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7"/>
      <c r="CB29" s="207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7"/>
      <c r="CO29" s="207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7"/>
      <c r="DB29" s="207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7"/>
      <c r="DO29" s="207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7"/>
      <c r="EB29" s="207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7"/>
      <c r="EO29" s="207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7"/>
      <c r="FB29" s="207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7"/>
      <c r="FO29" s="207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7"/>
      <c r="GB29" s="207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7"/>
      <c r="GO29" s="207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7"/>
      <c r="HB29" s="207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7"/>
      <c r="HO29" s="207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7"/>
      <c r="IB29" s="207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7"/>
      <c r="IO29" s="207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07"/>
      <c r="AB30" s="207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7"/>
      <c r="AO30" s="207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7"/>
      <c r="BB30" s="207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7"/>
      <c r="BO30" s="207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7"/>
      <c r="CB30" s="207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7"/>
      <c r="CO30" s="207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7"/>
      <c r="DB30" s="207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7"/>
      <c r="DO30" s="207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7"/>
      <c r="EB30" s="207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7"/>
      <c r="EO30" s="207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7"/>
      <c r="FB30" s="207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7"/>
      <c r="FO30" s="207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7"/>
      <c r="GB30" s="207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7"/>
      <c r="GO30" s="207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7"/>
      <c r="HB30" s="207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7"/>
      <c r="HO30" s="207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7"/>
      <c r="IB30" s="207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7"/>
      <c r="IO30" s="207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07"/>
      <c r="AB31" s="207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7"/>
      <c r="AO31" s="207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7"/>
      <c r="BB31" s="207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7"/>
      <c r="BO31" s="207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7"/>
      <c r="CB31" s="207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7"/>
      <c r="CO31" s="207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7"/>
      <c r="DB31" s="207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7"/>
      <c r="DO31" s="207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7"/>
      <c r="EB31" s="207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7"/>
      <c r="EO31" s="207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7"/>
      <c r="FB31" s="207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7"/>
      <c r="FO31" s="207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7"/>
      <c r="GB31" s="207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7"/>
      <c r="GO31" s="207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7"/>
      <c r="HB31" s="207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7"/>
      <c r="HO31" s="207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7"/>
      <c r="IB31" s="207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7"/>
      <c r="IO31" s="207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07"/>
      <c r="AB38" s="207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7"/>
      <c r="AO38" s="207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7"/>
      <c r="BB38" s="207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7"/>
      <c r="BO38" s="207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7"/>
      <c r="CB38" s="207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7"/>
      <c r="CO38" s="207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7"/>
      <c r="DB38" s="207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7"/>
      <c r="DO38" s="207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7"/>
      <c r="EB38" s="207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7"/>
      <c r="EO38" s="207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7"/>
      <c r="FB38" s="207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7"/>
      <c r="FO38" s="207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7"/>
      <c r="GB38" s="207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7"/>
      <c r="GO38" s="207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7"/>
      <c r="HB38" s="207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7"/>
      <c r="HO38" s="207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7"/>
      <c r="IB38" s="207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7"/>
      <c r="IO38" s="207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07"/>
      <c r="AB39" s="207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7"/>
      <c r="AO39" s="207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7"/>
      <c r="BB39" s="207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7"/>
      <c r="BO39" s="207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7"/>
      <c r="CB39" s="207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7"/>
      <c r="CO39" s="207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7"/>
      <c r="DB39" s="207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7"/>
      <c r="DO39" s="207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7"/>
      <c r="EB39" s="207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7"/>
      <c r="EO39" s="207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7"/>
      <c r="FB39" s="207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7"/>
      <c r="FO39" s="207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7"/>
      <c r="GB39" s="207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7"/>
      <c r="GO39" s="207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7"/>
      <c r="HB39" s="207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7"/>
      <c r="HO39" s="207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7"/>
      <c r="IB39" s="207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7"/>
      <c r="IO39" s="207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07"/>
      <c r="AB40" s="207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7"/>
      <c r="AO40" s="207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7"/>
      <c r="BB40" s="207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7"/>
      <c r="BO40" s="207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7"/>
      <c r="CB40" s="207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7"/>
      <c r="CO40" s="207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7"/>
      <c r="DB40" s="207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7"/>
      <c r="DO40" s="207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7"/>
      <c r="EB40" s="207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7"/>
      <c r="EO40" s="207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7"/>
      <c r="FB40" s="207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7"/>
      <c r="FO40" s="207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7"/>
      <c r="GB40" s="207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7"/>
      <c r="GO40" s="207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7"/>
      <c r="HB40" s="207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7"/>
      <c r="HO40" s="207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7"/>
      <c r="IB40" s="207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7"/>
      <c r="IO40" s="207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17:M17"/>
    <mergeCell ref="C18:M18"/>
    <mergeCell ref="C19:M19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DP29:DZ29"/>
    <mergeCell ref="DC29:DM29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5:M15"/>
    <mergeCell ref="C16:M16"/>
    <mergeCell ref="HP29:HZ29"/>
    <mergeCell ref="IC29:IM29"/>
    <mergeCell ref="FP29:FZ29"/>
    <mergeCell ref="GC29:GM29"/>
    <mergeCell ref="GP29:GZ29"/>
    <mergeCell ref="HC29:H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EC32:EM32"/>
    <mergeCell ref="EP32:EZ32"/>
    <mergeCell ref="FC32:FM32"/>
    <mergeCell ref="AC32:AM32"/>
    <mergeCell ref="AP32:AZ32"/>
    <mergeCell ref="BP32:B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FP39:FZ39"/>
    <mergeCell ref="GP39:GZ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2:HZ32"/>
    <mergeCell ref="P38:Z38"/>
    <mergeCell ref="AC38:AM38"/>
    <mergeCell ref="AP38:AZ38"/>
    <mergeCell ref="BP39:BZ39"/>
    <mergeCell ref="CC39:CM39"/>
    <mergeCell ref="CP39:CZ39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P40:Z40"/>
    <mergeCell ref="AC40:AM40"/>
    <mergeCell ref="IP40:IV40"/>
    <mergeCell ref="C45:M45"/>
    <mergeCell ref="IC40:IM40"/>
    <mergeCell ref="BP40:BZ40"/>
    <mergeCell ref="FC40:FM40"/>
    <mergeCell ref="FP40:FZ40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2014-09-05T16:52:34Z</cp:lastPrinted>
  <dcterms:created xsi:type="dcterms:W3CDTF">1997-12-04T19:04:30Z</dcterms:created>
  <dcterms:modified xsi:type="dcterms:W3CDTF">2014-09-19T13:23:40Z</dcterms:modified>
</cp:coreProperties>
</file>