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H472" i="1" l="1"/>
  <c r="F468" i="1" l="1"/>
  <c r="G197" i="1"/>
  <c r="G358" i="1"/>
  <c r="F202" i="1"/>
  <c r="F9" i="1"/>
  <c r="F29" i="1"/>
  <c r="F24" i="1"/>
  <c r="G205" i="1"/>
  <c r="H202" i="1"/>
  <c r="G198" i="1"/>
  <c r="G207" i="1"/>
  <c r="G202" i="1"/>
  <c r="G158" i="1"/>
  <c r="H155" i="1"/>
  <c r="H154" i="1"/>
  <c r="H102" i="1"/>
  <c r="H576" i="1"/>
  <c r="H575" i="1"/>
  <c r="H282" i="1"/>
  <c r="H240" i="1"/>
  <c r="H222" i="1"/>
  <c r="H209" i="1"/>
  <c r="H207" i="1"/>
  <c r="H204" i="1"/>
  <c r="H203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E50" i="2" s="1"/>
  <c r="E51" i="2" s="1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/>
  <c r="L261" i="1"/>
  <c r="L341" i="1"/>
  <c r="L342" i="1"/>
  <c r="L255" i="1"/>
  <c r="C130" i="2"/>
  <c r="L336" i="1"/>
  <c r="E130" i="2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C141" i="2" s="1"/>
  <c r="C144" i="2" s="1"/>
  <c r="C145" i="2" s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C56" i="2"/>
  <c r="G60" i="1"/>
  <c r="H60" i="1"/>
  <c r="E56" i="2"/>
  <c r="I60" i="1"/>
  <c r="F56" i="2"/>
  <c r="F79" i="1"/>
  <c r="F94" i="1"/>
  <c r="F111" i="1"/>
  <c r="G111" i="1"/>
  <c r="G112" i="1"/>
  <c r="H79" i="1"/>
  <c r="E57" i="2"/>
  <c r="H94" i="1"/>
  <c r="H111" i="1"/>
  <c r="I111" i="1"/>
  <c r="I112" i="1"/>
  <c r="J111" i="1"/>
  <c r="J112" i="1"/>
  <c r="F121" i="1"/>
  <c r="F136" i="1"/>
  <c r="G121" i="1"/>
  <c r="G136" i="1"/>
  <c r="H121" i="1"/>
  <c r="H136" i="1"/>
  <c r="H140" i="1"/>
  <c r="I121" i="1"/>
  <c r="I136" i="1"/>
  <c r="J121" i="1"/>
  <c r="J136" i="1"/>
  <c r="F147" i="1"/>
  <c r="C85" i="2"/>
  <c r="F162" i="1"/>
  <c r="G147" i="1"/>
  <c r="G162" i="1"/>
  <c r="H147" i="1"/>
  <c r="H162" i="1"/>
  <c r="H169" i="1"/>
  <c r="I147" i="1"/>
  <c r="I162" i="1"/>
  <c r="C15" i="10"/>
  <c r="L250" i="1"/>
  <c r="L332" i="1"/>
  <c r="L254" i="1"/>
  <c r="L268" i="1"/>
  <c r="L269" i="1"/>
  <c r="C143" i="2"/>
  <c r="L349" i="1"/>
  <c r="L350" i="1"/>
  <c r="E143" i="2"/>
  <c r="I665" i="1"/>
  <c r="I667" i="1" s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/>
  <c r="L345" i="1"/>
  <c r="E135" i="2"/>
  <c r="L346" i="1"/>
  <c r="L347" i="1"/>
  <c r="L351" i="1" s="1"/>
  <c r="L352" i="1" s="1"/>
  <c r="G633" i="1" s="1"/>
  <c r="K351" i="1"/>
  <c r="K352" i="1" s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1" i="2"/>
  <c r="K270" i="1"/>
  <c r="L270" i="1" s="1"/>
  <c r="L271" i="1" s="1"/>
  <c r="G632" i="1" s="1"/>
  <c r="J632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G22" i="2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G36" i="2"/>
  <c r="I459" i="1"/>
  <c r="J48" i="1"/>
  <c r="G47" i="2"/>
  <c r="C49" i="2"/>
  <c r="D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G103" i="2" s="1"/>
  <c r="G104" i="2" s="1"/>
  <c r="C97" i="2"/>
  <c r="D97" i="2"/>
  <c r="E97" i="2"/>
  <c r="E103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E111" i="2"/>
  <c r="C112" i="2"/>
  <c r="C113" i="2"/>
  <c r="E113" i="2"/>
  <c r="D115" i="2"/>
  <c r="F115" i="2"/>
  <c r="G115" i="2"/>
  <c r="E119" i="2"/>
  <c r="E120" i="2"/>
  <c r="E123" i="2"/>
  <c r="E124" i="2"/>
  <c r="F128" i="2"/>
  <c r="G128" i="2"/>
  <c r="F130" i="2"/>
  <c r="F144" i="2" s="1"/>
  <c r="F145" i="2" s="1"/>
  <c r="D134" i="2"/>
  <c r="D144" i="2"/>
  <c r="F134" i="2"/>
  <c r="K419" i="1"/>
  <c r="K427" i="1"/>
  <c r="K433" i="1"/>
  <c r="L263" i="1"/>
  <c r="C135" i="2"/>
  <c r="L264" i="1"/>
  <c r="C136" i="2"/>
  <c r="L265" i="1"/>
  <c r="C137" i="2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G619" i="1"/>
  <c r="I19" i="1"/>
  <c r="F32" i="1"/>
  <c r="F52" i="1"/>
  <c r="H617" i="1"/>
  <c r="G32" i="1"/>
  <c r="G52" i="1"/>
  <c r="H618" i="1"/>
  <c r="H32" i="1"/>
  <c r="I32" i="1"/>
  <c r="H51" i="1"/>
  <c r="I51" i="1"/>
  <c r="I52" i="1"/>
  <c r="H620" i="1"/>
  <c r="F177" i="1"/>
  <c r="I177" i="1"/>
  <c r="F183" i="1"/>
  <c r="G183" i="1"/>
  <c r="H183" i="1"/>
  <c r="I183" i="1"/>
  <c r="J183" i="1"/>
  <c r="G645" i="1" s="1"/>
  <c r="J645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/>
  <c r="F362" i="1"/>
  <c r="G362" i="1"/>
  <c r="H362" i="1"/>
  <c r="I362" i="1"/>
  <c r="G634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F408" i="1"/>
  <c r="H643" i="1"/>
  <c r="G407" i="1"/>
  <c r="H407" i="1"/>
  <c r="I407" i="1"/>
  <c r="H408" i="1"/>
  <c r="H644" i="1"/>
  <c r="J644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H434" i="1" s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G640" i="1"/>
  <c r="H446" i="1"/>
  <c r="F452" i="1"/>
  <c r="G452" i="1"/>
  <c r="H452" i="1"/>
  <c r="F460" i="1"/>
  <c r="G460" i="1"/>
  <c r="H460" i="1"/>
  <c r="H461" i="1"/>
  <c r="H641" i="1"/>
  <c r="F470" i="1"/>
  <c r="F476" i="1" s="1"/>
  <c r="H622" i="1" s="1"/>
  <c r="J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G545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J545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G643" i="1"/>
  <c r="G644" i="1"/>
  <c r="G649" i="1"/>
  <c r="G650" i="1"/>
  <c r="G652" i="1"/>
  <c r="H652" i="1"/>
  <c r="G653" i="1"/>
  <c r="H653" i="1"/>
  <c r="G654" i="1"/>
  <c r="H654" i="1"/>
  <c r="H655" i="1"/>
  <c r="J655" i="1" s="1"/>
  <c r="F18" i="2"/>
  <c r="G62" i="2"/>
  <c r="E78" i="2"/>
  <c r="I169" i="1"/>
  <c r="J476" i="1"/>
  <c r="H626" i="1" s="1"/>
  <c r="J626" i="1" s="1"/>
  <c r="I476" i="1"/>
  <c r="H625" i="1"/>
  <c r="J140" i="1"/>
  <c r="J636" i="1"/>
  <c r="J625" i="1"/>
  <c r="G461" i="1"/>
  <c r="H640" i="1"/>
  <c r="J640" i="1"/>
  <c r="F461" i="1"/>
  <c r="H639" i="1"/>
  <c r="L433" i="1"/>
  <c r="I408" i="1"/>
  <c r="G81" i="2"/>
  <c r="A13" i="12"/>
  <c r="L309" i="1"/>
  <c r="E122" i="2"/>
  <c r="E128" i="2"/>
  <c r="E118" i="2"/>
  <c r="L290" i="1"/>
  <c r="C21" i="10"/>
  <c r="D7" i="13"/>
  <c r="C7" i="13"/>
  <c r="C118" i="2"/>
  <c r="C111" i="2"/>
  <c r="C19" i="10"/>
  <c r="I552" i="1"/>
  <c r="G408" i="1"/>
  <c r="H645" i="1"/>
  <c r="G192" i="1"/>
  <c r="H192" i="1"/>
  <c r="G476" i="1"/>
  <c r="H623" i="1"/>
  <c r="J623" i="1"/>
  <c r="C25" i="10"/>
  <c r="H52" i="1"/>
  <c r="H619" i="1"/>
  <c r="J619" i="1" s="1"/>
  <c r="E13" i="13"/>
  <c r="C13" i="13"/>
  <c r="J641" i="1"/>
  <c r="H476" i="1"/>
  <c r="H624" i="1" s="1"/>
  <c r="J624" i="1" s="1"/>
  <c r="L427" i="1"/>
  <c r="L434" i="1" s="1"/>
  <c r="G638" i="1" s="1"/>
  <c r="F338" i="1"/>
  <c r="F352" i="1"/>
  <c r="J257" i="1"/>
  <c r="J271" i="1"/>
  <c r="E31" i="2"/>
  <c r="F662" i="1"/>
  <c r="C10" i="10"/>
  <c r="C91" i="2"/>
  <c r="L393" i="1"/>
  <c r="C138" i="2"/>
  <c r="E125" i="2"/>
  <c r="E121" i="2"/>
  <c r="E112" i="2"/>
  <c r="D19" i="13"/>
  <c r="C19" i="13"/>
  <c r="D17" i="13"/>
  <c r="C17" i="13"/>
  <c r="C20" i="10"/>
  <c r="K545" i="1"/>
  <c r="K571" i="1"/>
  <c r="L560" i="1"/>
  <c r="I545" i="1"/>
  <c r="K503" i="1"/>
  <c r="L419" i="1"/>
  <c r="F192" i="1"/>
  <c r="F193" i="1" s="1"/>
  <c r="G627" i="1" s="1"/>
  <c r="J627" i="1" s="1"/>
  <c r="G157" i="2"/>
  <c r="D50" i="2"/>
  <c r="D18" i="2"/>
  <c r="H552" i="1"/>
  <c r="L401" i="1"/>
  <c r="C139" i="2"/>
  <c r="A31" i="12"/>
  <c r="E114" i="2"/>
  <c r="L328" i="1"/>
  <c r="D29" i="13"/>
  <c r="C29" i="13"/>
  <c r="D18" i="13"/>
  <c r="C18" i="13"/>
  <c r="C121" i="2"/>
  <c r="C16" i="10"/>
  <c r="E16" i="13"/>
  <c r="J634" i="1"/>
  <c r="G338" i="1"/>
  <c r="G352" i="1"/>
  <c r="C26" i="10"/>
  <c r="H571" i="1"/>
  <c r="L570" i="1"/>
  <c r="L565" i="1"/>
  <c r="J571" i="1"/>
  <c r="F571" i="1"/>
  <c r="J639" i="1"/>
  <c r="H338" i="1"/>
  <c r="H352" i="1"/>
  <c r="L256" i="1"/>
  <c r="G164" i="2"/>
  <c r="G161" i="2"/>
  <c r="G156" i="2"/>
  <c r="C122" i="2"/>
  <c r="F78" i="2"/>
  <c r="F81" i="2"/>
  <c r="C62" i="2"/>
  <c r="C63" i="2"/>
  <c r="D31" i="2"/>
  <c r="J617" i="1"/>
  <c r="C18" i="2"/>
  <c r="F661" i="1"/>
  <c r="E62" i="2"/>
  <c r="E63" i="2"/>
  <c r="D91" i="2"/>
  <c r="D81" i="2"/>
  <c r="D62" i="2"/>
  <c r="D63" i="2"/>
  <c r="C78" i="2"/>
  <c r="C81" i="2"/>
  <c r="C70" i="2"/>
  <c r="F112" i="1"/>
  <c r="A40" i="12"/>
  <c r="K598" i="1"/>
  <c r="G647" i="1"/>
  <c r="J649" i="1"/>
  <c r="J552" i="1"/>
  <c r="K549" i="1"/>
  <c r="F552" i="1"/>
  <c r="K551" i="1"/>
  <c r="G552" i="1"/>
  <c r="H545" i="1"/>
  <c r="G661" i="1"/>
  <c r="H661" i="1"/>
  <c r="E115" i="2"/>
  <c r="C132" i="2"/>
  <c r="C32" i="10"/>
  <c r="I571" i="1"/>
  <c r="K605" i="1"/>
  <c r="G648" i="1"/>
  <c r="L247" i="1"/>
  <c r="H660" i="1"/>
  <c r="C12" i="10"/>
  <c r="C11" i="10"/>
  <c r="H647" i="1"/>
  <c r="I257" i="1"/>
  <c r="I271" i="1"/>
  <c r="C17" i="10"/>
  <c r="L229" i="1"/>
  <c r="G660" i="1"/>
  <c r="H257" i="1"/>
  <c r="H271" i="1"/>
  <c r="C124" i="2"/>
  <c r="D15" i="13"/>
  <c r="C15" i="13"/>
  <c r="D12" i="13"/>
  <c r="C12" i="13"/>
  <c r="C18" i="10"/>
  <c r="E8" i="13"/>
  <c r="C8" i="13"/>
  <c r="C120" i="2"/>
  <c r="D6" i="13"/>
  <c r="C6" i="13"/>
  <c r="K257" i="1"/>
  <c r="G257" i="1"/>
  <c r="G271" i="1"/>
  <c r="F257" i="1"/>
  <c r="F271" i="1"/>
  <c r="L211" i="1"/>
  <c r="C16" i="13"/>
  <c r="J643" i="1"/>
  <c r="C35" i="10"/>
  <c r="C29" i="10"/>
  <c r="D14" i="13"/>
  <c r="C14" i="13"/>
  <c r="L544" i="1"/>
  <c r="L524" i="1"/>
  <c r="D127" i="2"/>
  <c r="D128" i="2"/>
  <c r="D145" i="2"/>
  <c r="C13" i="10"/>
  <c r="D5" i="13"/>
  <c r="C5" i="13"/>
  <c r="F22" i="13"/>
  <c r="C22" i="13"/>
  <c r="K550" i="1"/>
  <c r="H112" i="1"/>
  <c r="H193" i="1"/>
  <c r="G629" i="1"/>
  <c r="J629" i="1"/>
  <c r="G651" i="1"/>
  <c r="J651" i="1"/>
  <c r="G624" i="1"/>
  <c r="L534" i="1"/>
  <c r="K500" i="1"/>
  <c r="I460" i="1"/>
  <c r="I452" i="1"/>
  <c r="I446" i="1"/>
  <c r="G642" i="1"/>
  <c r="C125" i="2"/>
  <c r="C123" i="2"/>
  <c r="C119" i="2"/>
  <c r="C114" i="2"/>
  <c r="C110" i="2"/>
  <c r="E132" i="2"/>
  <c r="E144" i="2"/>
  <c r="H662" i="1"/>
  <c r="L362" i="1"/>
  <c r="C27" i="10"/>
  <c r="J338" i="1"/>
  <c r="J352" i="1"/>
  <c r="H25" i="13"/>
  <c r="F169" i="1"/>
  <c r="E81" i="2"/>
  <c r="L614" i="1"/>
  <c r="L529" i="1"/>
  <c r="L337" i="1"/>
  <c r="L338" i="1"/>
  <c r="F62" i="2"/>
  <c r="F63" i="2"/>
  <c r="C23" i="10"/>
  <c r="G163" i="2"/>
  <c r="G162" i="2"/>
  <c r="G160" i="2"/>
  <c r="G159" i="2"/>
  <c r="G158" i="2"/>
  <c r="F103" i="2"/>
  <c r="C103" i="2"/>
  <c r="C104" i="2" s="1"/>
  <c r="F91" i="2"/>
  <c r="C50" i="2"/>
  <c r="F31" i="2"/>
  <c r="C31" i="2"/>
  <c r="E18" i="2"/>
  <c r="F50" i="2"/>
  <c r="C24" i="10"/>
  <c r="G31" i="13"/>
  <c r="G33" i="13"/>
  <c r="I338" i="1"/>
  <c r="I352" i="1"/>
  <c r="J650" i="1"/>
  <c r="L407" i="1"/>
  <c r="C140" i="2"/>
  <c r="L571" i="1"/>
  <c r="I192" i="1"/>
  <c r="E91" i="2"/>
  <c r="J654" i="1"/>
  <c r="J653" i="1"/>
  <c r="G21" i="2"/>
  <c r="G31" i="2"/>
  <c r="J32" i="1"/>
  <c r="J434" i="1"/>
  <c r="F434" i="1"/>
  <c r="K434" i="1"/>
  <c r="G134" i="2"/>
  <c r="G144" i="2"/>
  <c r="G145" i="2"/>
  <c r="F31" i="13"/>
  <c r="G169" i="1"/>
  <c r="G140" i="1"/>
  <c r="F140" i="1"/>
  <c r="G63" i="2"/>
  <c r="J618" i="1"/>
  <c r="G42" i="2"/>
  <c r="G50" i="2"/>
  <c r="G51" i="2"/>
  <c r="J51" i="1"/>
  <c r="G16" i="2"/>
  <c r="G18" i="2"/>
  <c r="J19" i="1"/>
  <c r="G621" i="1"/>
  <c r="D31" i="13"/>
  <c r="C31" i="13"/>
  <c r="F545" i="1"/>
  <c r="J620" i="1"/>
  <c r="D103" i="2"/>
  <c r="I140" i="1"/>
  <c r="I193" i="1"/>
  <c r="G630" i="1"/>
  <c r="J630" i="1"/>
  <c r="A22" i="12"/>
  <c r="J652" i="1"/>
  <c r="G571" i="1"/>
  <c r="I434" i="1"/>
  <c r="G434" i="1"/>
  <c r="I663" i="1"/>
  <c r="F51" i="2"/>
  <c r="I662" i="1"/>
  <c r="C36" i="10"/>
  <c r="D51" i="2"/>
  <c r="I461" i="1"/>
  <c r="H642" i="1"/>
  <c r="J642" i="1"/>
  <c r="F104" i="2"/>
  <c r="E145" i="2"/>
  <c r="J647" i="1"/>
  <c r="C115" i="2"/>
  <c r="D104" i="2"/>
  <c r="E104" i="2"/>
  <c r="G664" i="1"/>
  <c r="G667" i="1"/>
  <c r="C39" i="10"/>
  <c r="K552" i="1"/>
  <c r="L545" i="1"/>
  <c r="I661" i="1"/>
  <c r="G635" i="1"/>
  <c r="J635" i="1"/>
  <c r="E33" i="13"/>
  <c r="D35" i="13"/>
  <c r="L257" i="1"/>
  <c r="C28" i="10"/>
  <c r="D24" i="10"/>
  <c r="F660" i="1"/>
  <c r="F664" i="1"/>
  <c r="F667" i="1"/>
  <c r="H664" i="1"/>
  <c r="H648" i="1"/>
  <c r="J648" i="1"/>
  <c r="F33" i="13"/>
  <c r="L408" i="1"/>
  <c r="C25" i="13"/>
  <c r="H33" i="13"/>
  <c r="C128" i="2"/>
  <c r="C51" i="2"/>
  <c r="D33" i="13"/>
  <c r="D36" i="13"/>
  <c r="G193" i="1"/>
  <c r="G628" i="1"/>
  <c r="J628" i="1"/>
  <c r="G626" i="1"/>
  <c r="J52" i="1"/>
  <c r="H621" i="1"/>
  <c r="J621" i="1"/>
  <c r="C38" i="10"/>
  <c r="G672" i="1"/>
  <c r="C5" i="10"/>
  <c r="D20" i="10"/>
  <c r="D23" i="10"/>
  <c r="D27" i="10"/>
  <c r="D26" i="10"/>
  <c r="D25" i="10"/>
  <c r="D11" i="10"/>
  <c r="D22" i="10"/>
  <c r="D13" i="10"/>
  <c r="D21" i="10"/>
  <c r="D10" i="10"/>
  <c r="D15" i="10"/>
  <c r="D16" i="10"/>
  <c r="C30" i="10"/>
  <c r="D19" i="10"/>
  <c r="D18" i="10"/>
  <c r="D17" i="10"/>
  <c r="D12" i="10"/>
  <c r="F672" i="1"/>
  <c r="C4" i="10"/>
  <c r="I660" i="1"/>
  <c r="I664" i="1"/>
  <c r="I672" i="1"/>
  <c r="C7" i="10"/>
  <c r="H672" i="1"/>
  <c r="C6" i="10"/>
  <c r="H667" i="1"/>
  <c r="G637" i="1"/>
  <c r="J637" i="1"/>
  <c r="H646" i="1"/>
  <c r="C41" i="10"/>
  <c r="D38" i="10"/>
  <c r="D28" i="10"/>
  <c r="D37" i="10"/>
  <c r="D36" i="10"/>
  <c r="D35" i="10"/>
  <c r="D40" i="10"/>
  <c r="D39" i="10"/>
  <c r="D41" i="10"/>
  <c r="J638" i="1" l="1"/>
  <c r="K271" i="1"/>
  <c r="J192" i="1"/>
  <c r="J193" i="1" s="1"/>
  <c r="G631" i="1" s="1"/>
  <c r="G646" i="1"/>
  <c r="J646" i="1" s="1"/>
  <c r="J633" i="1"/>
  <c r="J631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<sst xmlns="http://schemas.openxmlformats.org/spreadsheetml/2006/main" count="3955" uniqueCount="913">
  <si>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</si>
  <si>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</si>
  <si>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</si>
  <si>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</si>
  <si>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</si>
  <si>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</si>
  <si>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</si>
  <si>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</si>
  <si>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</si>
  <si>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</si>
  <si>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</si>
  <si>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</si>
  <si>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</si>
  <si>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</si>
  <si>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</si>
  <si>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</si>
  <si>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</si>
  <si>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</si>
  <si>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</si>
  <si>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</si>
  <si>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</si>
  <si>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</si>
  <si>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</si>
  <si>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</si>
  <si>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</si>
  <si>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</si>
  <si>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</si>
  <si>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</si>
  <si>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</si>
  <si>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</si>
  <si>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</si>
  <si>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</si>
  <si>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</si>
  <si>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</si>
  <si>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</si>
  <si>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</si>
  <si>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</si>
  <si>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</si>
  <si>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</si>
  <si>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</si>
  <si>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</si>
  <si>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</si>
  <si>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</si>
  <si>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</si>
  <si>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</si>
  <si>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</si>
  <si>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</si>
  <si>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</si>
  <si>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</si>
  <si>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</si>
  <si>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</si>
  <si>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</si>
  <si>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</si>
  <si>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</si>
  <si>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</si>
  <si>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</si>
  <si>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</si>
  <si>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</si>
  <si>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</si>
  <si>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</si>
  <si>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</si>
  <si>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</si>
  <si>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</si>
  <si>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</si>
  <si>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</si>
  <si>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</si>
  <si>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</si>
  <si>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</si>
  <si>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</si>
  <si>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</si>
  <si>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</si>
  <si>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</si>
  <si>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</si>
  <si>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</si>
  <si>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</si>
  <si>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</si>
  <si>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</si>
  <si>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</si>
  <si>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</si>
  <si>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</si>
  <si>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</si>
  <si>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</si>
  <si>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</si>
  <si>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</si>
  <si>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</si>
  <si>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</si>
  <si>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</si>
  <si>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</si>
  <si>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</si>
  <si>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</si>
  <si>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</si>
  <si>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</si>
  <si>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</si>
  <si>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</si>
  <si>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</si>
  <si>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</si>
  <si>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</si>
  <si>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</si>
  <si>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</si>
  <si>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</si>
  <si>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</si>
  <si>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</si>
  <si>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</si>
  <si>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</si>
  <si>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</si>
  <si>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</si>
  <si>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</si>
  <si>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</si>
  <si>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</si>
  <si>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</si>
  <si>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</si>
  <si>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</si>
  <si>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</si>
  <si>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</si>
  <si>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</si>
  <si>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</si>
  <si>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</si>
  <si>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</si>
  <si>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</si>
  <si>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</si>
  <si>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</si>
  <si>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</si>
  <si>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</si>
  <si>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</si>
  <si>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</si>
  <si>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</si>
  <si>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</si>
  <si>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</si>
  <si>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</si>
  <si>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</si>
  <si>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</si>
  <si>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</si>
  <si>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</si>
  <si>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</si>
  <si>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</si>
  <si>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</si>
  <si>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</si>
  <si>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</si>
  <si>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</si>
  <si>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</si>
  <si>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</si>
  <si>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</si>
  <si>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</si>
  <si>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</si>
  <si>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</si>
  <si>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</si>
  <si>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</si>
  <si>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</si>
  <si>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</si>
  <si>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</si>
  <si>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</si>
  <si>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</si>
  <si>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</si>
  <si>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</si>
  <si>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</si>
  <si>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</si>
  <si>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</si>
  <si>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</si>
  <si>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</si>
  <si>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</si>
  <si>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</si>
  <si>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</si>
  <si>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</si>
  <si>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</si>
  <si>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</si>
  <si>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</si>
  <si>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</si>
  <si>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</si>
  <si>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</si>
  <si>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</si>
  <si>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</si>
  <si>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</si>
  <si>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</si>
  <si>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</si>
  <si>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</si>
  <si>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</si>
  <si>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</si>
  <si>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</si>
  <si>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</si>
  <si>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</si>
  <si>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</si>
  <si>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</si>
  <si>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</si>
  <si>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</si>
  <si>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</si>
  <si>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</si>
  <si>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</si>
  <si>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</si>
  <si>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</si>
  <si>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</si>
  <si>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</si>
  <si>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</si>
  <si>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</si>
  <si>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</si>
  <si>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</si>
  <si>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</si>
  <si>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</si>
  <si>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</si>
  <si>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</si>
  <si>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</si>
  <si>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</si>
  <si>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</si>
  <si>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</si>
  <si>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</si>
  <si>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</si>
  <si>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</si>
  <si>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</si>
  <si>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</si>
  <si>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</si>
  <si>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</si>
  <si>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</si>
  <si>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</si>
  <si>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</si>
  <si>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</si>
  <si>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</si>
  <si>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</si>
  <si>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</si>
  <si>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</si>
  <si>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</si>
  <si>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</si>
  <si>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</si>
  <si>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</si>
  <si>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</si>
  <si>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</si>
  <si>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</si>
  <si>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</si>
  <si>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</si>
  <si>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</si>
  <si>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</si>
  <si>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</si>
  <si>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</si>
  <si>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</si>
  <si>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</si>
  <si>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</si>
  <si>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</si>
  <si>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</si>
  <si>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</si>
  <si>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</si>
  <si>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</si>
  <si>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</si>
  <si>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</si>
  <si>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</si>
  <si>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</si>
  <si>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</si>
  <si>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</si>
  <si>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</si>
  <si>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</si>
  <si>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</si>
  <si>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</si>
  <si>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</si>
  <si>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</si>
  <si>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</si>
  <si>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</si>
  <si>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</si>
  <si>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</si>
  <si>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</si>
  <si>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</si>
  <si>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</si>
  <si>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</si>
  <si>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</si>
  <si>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</si>
  <si>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</si>
  <si>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</si>
  <si>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</si>
  <si>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</si>
  <si>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</si>
  <si>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</si>
  <si>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</si>
  <si>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</si>
  <si>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</si>
  <si>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</si>
  <si>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</si>
  <si>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</si>
  <si>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</si>
  <si>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</si>
  <si>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</si>
  <si>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</si>
  <si>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</si>
  <si>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</si>
  <si>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</si>
  <si>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</si>
  <si>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</si>
  <si>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</si>
  <si>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</si>
  <si>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</si>
  <si>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</si>
  <si>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</si>
  <si>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</si>
  <si>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</si>
  <si>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</si>
  <si>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</si>
  <si>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</si>
  <si>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</si>
  <si>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</si>
  <si>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</si>
  <si>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</si>
  <si>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</si>
  <si>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</si>
  <si>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</si>
  <si>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</si>
  <si>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</si>
  <si>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</si>
  <si>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</si>
  <si>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</si>
  <si>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</si>
  <si>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</si>
  <si>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</si>
  <si>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</si>
  <si>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</si>
  <si>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</si>
  <si>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</si>
  <si>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</si>
  <si>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</si>
  <si>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</si>
  <si>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</si>
  <si>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</si>
  <si>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</si>
  <si>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</si>
  <si>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</si>
  <si>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</si>
  <si>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</si>
  <si>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</si>
  <si>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</si>
  <si>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</si>
  <si>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</si>
  <si>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</si>
  <si>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</si>
  <si>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</si>
  <si>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</si>
  <si>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</si>
  <si>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</si>
  <si>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</si>
  <si>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</si>
  <si>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</si>
  <si>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</si>
  <si>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</si>
  <si>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</si>
  <si>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</si>
  <si>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</si>
  <si>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</si>
  <si>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</si>
  <si>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</si>
  <si>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</si>
  <si>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</si>
  <si>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</si>
  <si>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</si>
  <si>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</si>
  <si>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</si>
  <si>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</si>
  <si>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</si>
  <si>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</si>
  <si>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</si>
  <si>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</si>
  <si>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</si>
  <si>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</si>
  <si>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</si>
  <si>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</si>
  <si>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</si>
  <si>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</si>
  <si>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</si>
  <si>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</si>
  <si>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</si>
  <si>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</si>
  <si>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</si>
  <si>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</si>
  <si>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</si>
  <si>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</si>
  <si>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</si>
  <si>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</si>
  <si>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</si>
  <si>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</si>
  <si>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</si>
  <si>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</si>
  <si>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</si>
  <si>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</si>
  <si>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</si>
  <si>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</si>
  <si>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</si>
  <si>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</si>
  <si>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</si>
  <si>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</si>
  <si>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</si>
  <si>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</si>
  <si>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</si>
  <si>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</si>
  <si>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</si>
  <si>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</si>
  <si>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</si>
  <si>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</si>
  <si>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</si>
  <si>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</si>
  <si>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</si>
  <si>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</si>
  <si>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</si>
  <si>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</si>
  <si>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</si>
  <si>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</si>
  <si>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</si>
  <si>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</si>
  <si>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</si>
  <si>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</si>
  <si>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</si>
  <si>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</si>
  <si>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</si>
  <si>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</si>
  <si>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</si>
  <si>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</si>
  <si>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</si>
  <si>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</si>
  <si>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</si>
  <si>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</si>
  <si>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</si>
  <si>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</si>
  <si>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</si>
  <si>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</si>
  <si>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</si>
  <si>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</si>
  <si>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</si>
  <si>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</si>
  <si>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</si>
  <si>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</si>
  <si>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</si>
  <si>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</si>
  <si>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</si>
  <si>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</si>
  <si>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</si>
  <si>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</si>
  <si>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</si>
  <si>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</si>
  <si>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</si>
  <si>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</si>
  <si>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</si>
  <si>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</si>
  <si>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</si>
  <si>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</si>
  <si>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</si>
  <si>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</si>
  <si>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</si>
  <si>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</si>
  <si>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</si>
  <si>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</si>
  <si>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</si>
  <si>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</si>
  <si>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</si>
  <si>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</si>
  <si>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</si>
  <si>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</si>
  <si>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</si>
  <si>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</si>
  <si>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</si>
  <si>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</si>
  <si>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</si>
  <si>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</si>
  <si>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</si>
  <si>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</si>
  <si>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</si>
  <si>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</si>
  <si>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</si>
  <si>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</si>
  <si>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</si>
  <si>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</si>
  <si>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</si>
  <si>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</si>
  <si>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</si>
  <si>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</si>
  <si>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</si>
  <si>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</si>
  <si>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</si>
  <si>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</si>
  <si>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</si>
  <si>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</si>
  <si>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</si>
  <si>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</si>
  <si>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</si>
  <si>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</si>
  <si>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</si>
  <si>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</si>
  <si>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</si>
  <si>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</si>
  <si>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</si>
  <si>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</si>
  <si>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</si>
  <si>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</si>
  <si>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</si>
  <si>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</si>
  <si>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</si>
  <si>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</si>
  <si>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</si>
  <si>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</si>
  <si>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</si>
  <si>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</si>
  <si>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</si>
  <si>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</si>
  <si>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</si>
  <si>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</si>
  <si>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</si>
  <si>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</si>
  <si>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</si>
  <si>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</si>
  <si>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</si>
  <si>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</si>
  <si>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</si>
  <si>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</si>
  <si>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</si>
  <si>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</si>
  <si>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</si>
  <si>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</si>
  <si>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</si>
  <si>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</si>
  <si>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</si>
  <si>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</si>
  <si>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</si>
  <si>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</si>
  <si>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</si>
  <si>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</si>
  <si>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</si>
  <si>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</si>
  <si>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</si>
  <si>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</si>
  <si>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</si>
  <si>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</si>
  <si>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</si>
  <si>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</si>
  <si>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</si>
  <si>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</si>
  <si>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</si>
  <si>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</si>
  <si>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</si>
  <si>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</si>
  <si>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</si>
  <si>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</si>
  <si>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</si>
  <si>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</si>
  <si>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</si>
  <si>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</si>
  <si>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</si>
  <si>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</si>
  <si>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</si>
  <si>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</si>
  <si>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</si>
  <si>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</si>
  <si>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</si>
  <si>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</si>
  <si>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</si>
  <si>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</si>
  <si>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</si>
  <si>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</si>
  <si>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</si>
  <si>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</si>
  <si>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</si>
  <si>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</si>
  <si>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</si>
  <si>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</si>
  <si>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</si>
  <si>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</si>
  <si>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</si>
  <si>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</si>
  <si>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</si>
  <si>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</si>
  <si>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</si>
  <si>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</si>
  <si>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</si>
  <si>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</si>
  <si>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</si>
  <si>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</si>
  <si>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</si>
  <si>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</si>
  <si>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</si>
  <si>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</si>
  <si>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</si>
  <si>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</si>
  <si>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</si>
  <si>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</si>
  <si>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</si>
  <si>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</si>
  <si>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</si>
  <si>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</si>
  <si>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</si>
  <si>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</si>
  <si>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</si>
  <si>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</si>
  <si>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</si>
  <si>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</si>
  <si>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</si>
  <si>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</si>
  <si>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</si>
  <si>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</si>
  <si>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</si>
  <si>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</si>
  <si>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</si>
  <si>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</si>
  <si>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</si>
  <si>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</si>
  <si>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</si>
  <si>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</si>
  <si>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</si>
  <si>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</si>
  <si>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</si>
  <si>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</si>
  <si>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</si>
  <si>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</si>
  <si>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</si>
  <si>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</si>
  <si>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</si>
  <si>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</si>
  <si>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</si>
  <si>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</si>
  <si>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</si>
  <si>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</si>
  <si>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</si>
  <si>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</si>
  <si>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</si>
  <si>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</si>
  <si>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</si>
  <si>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</si>
  <si>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</si>
  <si>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</si>
  <si>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</si>
  <si>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</si>
  <si>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</si>
  <si>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</si>
  <si>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</si>
  <si>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</si>
  <si>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</si>
  <si>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</si>
  <si>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</si>
  <si>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</si>
  <si>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</si>
  <si>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</si>
  <si>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</si>
  <si>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</si>
  <si>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</si>
  <si>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</si>
  <si>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</si>
  <si>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</si>
  <si>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</si>
  <si>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</si>
  <si>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</si>
  <si>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</si>
  <si>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</si>
  <si>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</si>
  <si>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</si>
  <si>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</si>
  <si>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</si>
  <si>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</si>
  <si>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</si>
  <si>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</si>
  <si>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</si>
  <si>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</si>
  <si>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</si>
  <si>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</si>
  <si>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</si>
  <si>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</si>
  <si>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</si>
  <si>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</si>
  <si>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</si>
  <si>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</si>
  <si>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</si>
  <si>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</si>
  <si>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</si>
  <si>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</si>
  <si>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</si>
  <si>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</si>
  <si>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</si>
  <si>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</si>
  <si>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</si>
  <si>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</si>
  <si>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</si>
  <si>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</si>
  <si>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</si>
  <si>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</si>
  <si>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</si>
  <si>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</si>
  <si>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</si>
  <si>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</si>
  <si>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</si>
  <si>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</si>
  <si>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</si>
  <si>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</si>
  <si>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</si>
  <si>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</si>
  <si>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</si>
  <si>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</si>
  <si>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</si>
  <si>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</si>
  <si>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</si>
  <si>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</si>
  <si>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</si>
  <si>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</si>
  <si>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</si>
  <si>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</si>
  <si>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</si>
  <si>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</si>
  <si>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</si>
  <si>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</si>
  <si>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</si>
  <si>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</si>
  <si>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</si>
  <si>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</si>
  <si>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</si>
  <si>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</si>
  <si>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</si>
  <si>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</si>
  <si>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</si>
  <si>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</si>
  <si>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</si>
  <si>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</si>
  <si>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</si>
  <si>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</si>
  <si>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</si>
  <si>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</si>
  <si>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</si>
  <si>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</si>
  <si>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</si>
  <si>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</si>
  <si>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</si>
  <si>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</si>
  <si>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</si>
  <si>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</si>
  <si>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</si>
  <si>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</si>
  <si>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</si>
  <si>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</si>
  <si>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</si>
  <si>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</si>
  <si>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</si>
  <si>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</si>
  <si>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</si>
  <si>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</si>
  <si>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</si>
  <si>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</si>
  <si>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</si>
  <si>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</si>
  <si>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</si>
  <si>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</si>
  <si>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</si>
  <si>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</si>
  <si>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</si>
  <si>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</si>
  <si>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</si>
  <si>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</si>
  <si>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</si>
  <si>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</si>
  <si>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</si>
  <si>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</si>
  <si>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</si>
  <si>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</si>
  <si>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</si>
  <si>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</si>
  <si>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</si>
  <si>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</si>
  <si>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</si>
  <si>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</si>
  <si>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</si>
  <si>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</si>
  <si>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</si>
  <si>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</si>
  <si>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</si>
  <si>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</si>
  <si>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</si>
  <si>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</si>
  <si>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</si>
  <si>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</si>
  <si>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</si>
  <si>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</si>
  <si>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</si>
  <si>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</si>
  <si>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</si>
  <si>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</si>
  <si>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</si>
  <si>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</si>
  <si>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</si>
  <si>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</si>
  <si>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</si>
  <si>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</si>
  <si>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</si>
  <si>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</si>
  <si>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</si>
  <si>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</si>
  <si>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</si>
  <si>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</si>
  <si>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</si>
  <si>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</si>
  <si>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</si>
  <si>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</si>
  <si>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</si>
  <si>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</si>
  <si>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</si>
  <si>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</si>
  <si>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</si>
  <si>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</si>
  <si>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</si>
  <si>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</si>
  <si>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</si>
  <si>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</si>
  <si>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</si>
  <si>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</si>
  <si>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</si>
  <si>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</si>
  <si>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</si>
  <si>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</si>
  <si>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</si>
  <si>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</si>
  <si>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</si>
  <si>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</si>
  <si>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</si>
  <si>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</si>
  <si>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</si>
  <si>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</si>
  <si>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</si>
  <si>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</si>
  <si>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</si>
  <si>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</si>
  <si>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</si>
  <si>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</si>
  <si>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</si>
  <si>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</si>
  <si>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</si>
  <si>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</si>
  <si>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</si>
  <si>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</si>
  <si>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</si>
  <si>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</si>
  <si>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</si>
  <si>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</si>
  <si>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</si>
  <si>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</si>
  <si>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</si>
  <si>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</si>
  <si>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</si>
  <si>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</si>
  <si>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</si>
  <si>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</si>
  <si>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</si>
  <si>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</si>
  <si>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</si>
  <si>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</si>
  <si>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</si>
  <si>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</si>
  <si>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</si>
  <si>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</si>
  <si>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</si>
  <si>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</si>
  <si>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</si>
  <si>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</si>
  <si>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</si>
  <si>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</si>
  <si>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</si>
  <si>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</si>
  <si>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</si>
  <si>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</si>
  <si>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</si>
  <si>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</si>
  <si>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</si>
  <si>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</si>
  <si>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</si>
  <si>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</si>
  <si>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</si>
  <si>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</si>
  <si>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</si>
  <si>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</si>
  <si>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</si>
  <si>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</si>
  <si>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</si>
  <si>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</si>
  <si>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</si>
  <si>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</si>
  <si>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</si>
  <si>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</si>
  <si>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</si>
  <si>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</si>
  <si>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</si>
  <si>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</si>
  <si>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</si>
  <si>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</si>
  <si>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</si>
  <si>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</si>
  <si>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</si>
  <si>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</si>
  <si>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</si>
  <si>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</si>
  <si>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</si>
  <si>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</si>
  <si>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</si>
  <si>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</si>
  <si>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</si>
  <si>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</si>
  <si>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</si>
  <si>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</si>
  <si>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</si>
  <si>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</si>
  <si>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</si>
  <si>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</si>
  <si>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</si>
  <si>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</si>
  <si>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</si>
  <si>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</si>
  <si>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</si>
  <si>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</si>
  <si>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</si>
  <si>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</si>
  <si>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</si>
  <si>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</si>
  <si>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</si>
  <si>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</si>
  <si>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</si>
  <si>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</si>
  <si>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</si>
  <si>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</si>
  <si>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</si>
  <si>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</si>
  <si>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Used Carry Over Fund Balance from prior year.</t>
  </si>
  <si>
    <t>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</si>
</sst>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39</v>
      </c>
      <c r="C2" s="21">
        <v>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107747.97</f>
        <v>107747.97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93701.93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20264.37</v>
      </c>
      <c r="G13" s="18">
        <v>2388.29</v>
      </c>
      <c r="H13" s="18">
        <v>4985.09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604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>
        <v>97.01</v>
      </c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128616.34</v>
      </c>
      <c r="G19" s="41">
        <f>SUM(G9:G18)</f>
        <v>2485.3000000000002</v>
      </c>
      <c r="H19" s="41">
        <f>SUM(H9:H18)</f>
        <v>4985.09</v>
      </c>
      <c r="I19" s="41">
        <f>SUM(I9:I18)</f>
        <v>0</v>
      </c>
      <c r="J19" s="41">
        <f>SUM(J9:J18)</f>
        <v>93701.93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6271.69</v>
      </c>
      <c r="G22" s="18">
        <v>2388.29</v>
      </c>
      <c r="H22" s="18">
        <v>3786.39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24012.91+1265.12</f>
        <v>25278.03</v>
      </c>
      <c r="G24" s="18"/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96.8+125.49+7.08+1.98</f>
        <v>231.35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97.01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31781.069999999996</v>
      </c>
      <c r="G32" s="41">
        <f>SUM(G22:G31)</f>
        <v>2485.3000000000002</v>
      </c>
      <c r="H32" s="41">
        <f>SUM(H22:H31)</f>
        <v>3786.39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/>
      <c r="H48" s="18"/>
      <c r="I48" s="18"/>
      <c r="J48" s="13">
        <f>SUM(I459)</f>
        <v>93701.93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284.85000000000002</v>
      </c>
      <c r="G49" s="18"/>
      <c r="H49" s="18">
        <v>1198.7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96550.42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96835.27</v>
      </c>
      <c r="G51" s="41">
        <f>SUM(G35:G50)</f>
        <v>0</v>
      </c>
      <c r="H51" s="41">
        <f>SUM(H35:H50)</f>
        <v>1198.7</v>
      </c>
      <c r="I51" s="41">
        <f>SUM(I35:I50)</f>
        <v>0</v>
      </c>
      <c r="J51" s="41">
        <f>SUM(J35:J50)</f>
        <v>93701.93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128616.34</v>
      </c>
      <c r="G52" s="41">
        <f>G51+G32</f>
        <v>2485.3000000000002</v>
      </c>
      <c r="H52" s="41">
        <f>H51+H32</f>
        <v>4985.09</v>
      </c>
      <c r="I52" s="41">
        <f>I51+I32</f>
        <v>0</v>
      </c>
      <c r="J52" s="41">
        <f>J51+J32</f>
        <v>93701.93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1174204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1174204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108.09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13544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844.05+354.65</f>
        <v>1198.6999999999998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321.58999999999997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1329.32</v>
      </c>
      <c r="G110" s="18">
        <v>432.53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1759</v>
      </c>
      <c r="G111" s="41">
        <f>SUM(G96:G110)</f>
        <v>13976.53</v>
      </c>
      <c r="H111" s="41">
        <f>SUM(H96:H110)</f>
        <v>1198.6999999999998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1175963</v>
      </c>
      <c r="G112" s="41">
        <f>G60+G111</f>
        <v>13976.53</v>
      </c>
      <c r="H112" s="41">
        <f>H60+H79+H94+H111</f>
        <v>1198.6999999999998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473370.51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259039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732409.51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28627.72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3242.24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463.04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31869.96</v>
      </c>
      <c r="G136" s="41">
        <f>SUM(G123:G135)</f>
        <v>463.04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764279.47</v>
      </c>
      <c r="G140" s="41">
        <f>G121+SUM(G136:G137)</f>
        <v>463.04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444.85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2598.09+22679.68</f>
        <v>25277.77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4819.74+7931+2687.97</f>
        <v>15438.71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2311.18+11010.39</f>
        <v>13321.57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22464.75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22464.75</v>
      </c>
      <c r="G162" s="41">
        <f>SUM(G150:G161)</f>
        <v>13321.57</v>
      </c>
      <c r="H162" s="41">
        <f>SUM(H150:H161)</f>
        <v>41161.33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209.95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22674.7</v>
      </c>
      <c r="G169" s="41">
        <f>G147+G162+SUM(G163:G168)</f>
        <v>13321.57</v>
      </c>
      <c r="H169" s="41">
        <f>H147+H162+SUM(H163:H168)</f>
        <v>41161.33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38566.44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38566.44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>
        <v>97.01</v>
      </c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38663.450000000004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1962917.17</v>
      </c>
      <c r="G193" s="47">
        <f>G112+G140+G169+G192</f>
        <v>66424.59</v>
      </c>
      <c r="H193" s="47">
        <f>H112+H140+H169+H192</f>
        <v>42360.03</v>
      </c>
      <c r="I193" s="47">
        <f>I112+I140+I169+I192</f>
        <v>0</v>
      </c>
      <c r="J193" s="47">
        <f>J112+J140+J192</f>
        <v>50000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280347.84000000003</v>
      </c>
      <c r="G197" s="18">
        <f>103937.13+968.08</f>
        <v>104905.21</v>
      </c>
      <c r="H197" s="18">
        <v>48305.13</v>
      </c>
      <c r="I197" s="18">
        <v>22028.15</v>
      </c>
      <c r="J197" s="18">
        <v>5711.83</v>
      </c>
      <c r="K197" s="18">
        <v>1074.96</v>
      </c>
      <c r="L197" s="19">
        <f>SUM(F197:K197)</f>
        <v>462373.12000000011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49988.63</v>
      </c>
      <c r="G198" s="18">
        <f>20974.89+170.98</f>
        <v>21145.87</v>
      </c>
      <c r="H198" s="18">
        <v>16052.62</v>
      </c>
      <c r="I198" s="18">
        <v>3070.03</v>
      </c>
      <c r="J198" s="18">
        <v>0</v>
      </c>
      <c r="K198" s="18">
        <v>405</v>
      </c>
      <c r="L198" s="19">
        <f>SUM(F198:K198)</f>
        <v>90662.15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5135.63</v>
      </c>
      <c r="G200" s="18">
        <v>936.62</v>
      </c>
      <c r="H200" s="18">
        <v>480.52</v>
      </c>
      <c r="I200" s="18">
        <v>361.08</v>
      </c>
      <c r="J200" s="18">
        <v>0</v>
      </c>
      <c r="K200" s="18">
        <v>286.5</v>
      </c>
      <c r="L200" s="19">
        <f>SUM(F200:K200)</f>
        <v>7200.35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9470.72+284.85</f>
        <v>9755.57</v>
      </c>
      <c r="G202" s="18">
        <f>1118.57+31.37</f>
        <v>1149.9399999999998</v>
      </c>
      <c r="H202" s="18">
        <f>36779.61+292.5</f>
        <v>37072.11</v>
      </c>
      <c r="I202" s="18">
        <v>4278.1000000000004</v>
      </c>
      <c r="J202" s="18">
        <v>803.66</v>
      </c>
      <c r="K202" s="18">
        <v>0</v>
      </c>
      <c r="L202" s="19">
        <f t="shared" ref="L202:L208" si="0">SUM(F202:K202)</f>
        <v>53059.380000000005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14254.52</v>
      </c>
      <c r="G203" s="18">
        <v>1586.78</v>
      </c>
      <c r="H203" s="18">
        <f>10227.5+313.09</f>
        <v>10540.59</v>
      </c>
      <c r="I203" s="18">
        <v>1464.22</v>
      </c>
      <c r="J203" s="18"/>
      <c r="K203" s="18"/>
      <c r="L203" s="19">
        <f t="shared" si="0"/>
        <v>27846.11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1583.04</v>
      </c>
      <c r="G204" s="18">
        <v>121.2</v>
      </c>
      <c r="H204" s="18">
        <f>49257.88+1207.6</f>
        <v>50465.479999999996</v>
      </c>
      <c r="I204" s="18">
        <v>443.8</v>
      </c>
      <c r="J204" s="18">
        <v>0</v>
      </c>
      <c r="K204" s="18">
        <v>1140.97</v>
      </c>
      <c r="L204" s="19">
        <f t="shared" si="0"/>
        <v>53754.49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90026.79</v>
      </c>
      <c r="G205" s="18">
        <f>35125.48+309.86</f>
        <v>35435.340000000004</v>
      </c>
      <c r="H205" s="18">
        <v>2397.29</v>
      </c>
      <c r="I205" s="18">
        <v>978.43</v>
      </c>
      <c r="J205" s="18"/>
      <c r="K205" s="18">
        <v>70</v>
      </c>
      <c r="L205" s="19">
        <f t="shared" si="0"/>
        <v>128907.84999999999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27992.07</v>
      </c>
      <c r="G207" s="18">
        <f>13194.52+92.7</f>
        <v>13287.220000000001</v>
      </c>
      <c r="H207" s="18">
        <f>15000+36502.43+854</f>
        <v>52356.43</v>
      </c>
      <c r="I207" s="18">
        <v>53581.61</v>
      </c>
      <c r="J207" s="18">
        <v>300</v>
      </c>
      <c r="K207" s="18"/>
      <c r="L207" s="19">
        <f t="shared" si="0"/>
        <v>147517.33000000002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49451.79</v>
      </c>
      <c r="I208" s="18"/>
      <c r="J208" s="18"/>
      <c r="K208" s="18"/>
      <c r="L208" s="19">
        <f t="shared" si="0"/>
        <v>49451.79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402.75+678.19</f>
        <v>1080.94</v>
      </c>
      <c r="I209" s="18">
        <v>31.32</v>
      </c>
      <c r="J209" s="18"/>
      <c r="K209" s="18"/>
      <c r="L209" s="19">
        <f>SUM(F209:K209)</f>
        <v>1112.26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479084.09</v>
      </c>
      <c r="G211" s="41">
        <f t="shared" si="1"/>
        <v>178568.18</v>
      </c>
      <c r="H211" s="41">
        <f t="shared" si="1"/>
        <v>268202.90000000002</v>
      </c>
      <c r="I211" s="41">
        <f t="shared" si="1"/>
        <v>86236.74</v>
      </c>
      <c r="J211" s="41">
        <f t="shared" si="1"/>
        <v>6815.49</v>
      </c>
      <c r="K211" s="41">
        <f t="shared" si="1"/>
        <v>2977.4300000000003</v>
      </c>
      <c r="L211" s="41">
        <f t="shared" si="1"/>
        <v>1021884.8300000001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199727.95</v>
      </c>
      <c r="I215" s="18"/>
      <c r="J215" s="18"/>
      <c r="K215" s="18"/>
      <c r="L215" s="19">
        <f>SUM(F215:K215)</f>
        <v>199727.95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5996.07</v>
      </c>
      <c r="I216" s="18"/>
      <c r="J216" s="18"/>
      <c r="K216" s="18"/>
      <c r="L216" s="19">
        <f>SUM(F216:K216)</f>
        <v>5996.07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552.76</v>
      </c>
      <c r="G222" s="18">
        <v>42.41</v>
      </c>
      <c r="H222" s="18">
        <f>16768.64+411.1</f>
        <v>17179.739999999998</v>
      </c>
      <c r="I222" s="18">
        <v>138.62</v>
      </c>
      <c r="J222" s="18"/>
      <c r="K222" s="18">
        <v>364.55</v>
      </c>
      <c r="L222" s="19">
        <f t="shared" si="2"/>
        <v>18278.079999999994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18285.53</v>
      </c>
      <c r="I226" s="18"/>
      <c r="J226" s="18"/>
      <c r="K226" s="18"/>
      <c r="L226" s="19">
        <f t="shared" si="2"/>
        <v>18285.53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552.76</v>
      </c>
      <c r="G229" s="41">
        <f>SUM(G215:G228)</f>
        <v>42.41</v>
      </c>
      <c r="H229" s="41">
        <f>SUM(H215:H228)</f>
        <v>241189.29</v>
      </c>
      <c r="I229" s="41">
        <f>SUM(I215:I228)</f>
        <v>138.62</v>
      </c>
      <c r="J229" s="41">
        <f>SUM(J215:J228)</f>
        <v>0</v>
      </c>
      <c r="K229" s="41">
        <f t="shared" si="3"/>
        <v>364.55</v>
      </c>
      <c r="L229" s="41">
        <f t="shared" si="3"/>
        <v>242287.63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517415.26</v>
      </c>
      <c r="I233" s="18"/>
      <c r="J233" s="18"/>
      <c r="K233" s="18"/>
      <c r="L233" s="19">
        <f>SUM(F233:K233)</f>
        <v>517415.26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88696.8</v>
      </c>
      <c r="I234" s="18"/>
      <c r="J234" s="18"/>
      <c r="K234" s="18"/>
      <c r="L234" s="19">
        <f>SUM(F234:K234)</f>
        <v>88696.8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16624.36</v>
      </c>
      <c r="I235" s="18"/>
      <c r="J235" s="18"/>
      <c r="K235" s="18"/>
      <c r="L235" s="19">
        <f>SUM(F235:K235)</f>
        <v>16624.36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789.96</v>
      </c>
      <c r="I236" s="18"/>
      <c r="J236" s="18"/>
      <c r="K236" s="18"/>
      <c r="L236" s="19">
        <f>SUM(F236:K236)</f>
        <v>789.96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7583.25</v>
      </c>
      <c r="I238" s="18"/>
      <c r="J238" s="18"/>
      <c r="K238" s="18"/>
      <c r="L238" s="19">
        <f t="shared" ref="L238:L244" si="4">SUM(F238:K238)</f>
        <v>7583.25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1206.9100000000001</v>
      </c>
      <c r="G240" s="18">
        <v>92.29</v>
      </c>
      <c r="H240" s="18">
        <f>38777.48+950.66</f>
        <v>39728.140000000007</v>
      </c>
      <c r="I240" s="18">
        <v>240.54</v>
      </c>
      <c r="J240" s="18"/>
      <c r="K240" s="18">
        <v>843.03</v>
      </c>
      <c r="L240" s="19">
        <f t="shared" si="4"/>
        <v>42110.91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43324.04</v>
      </c>
      <c r="I244" s="18"/>
      <c r="J244" s="18"/>
      <c r="K244" s="18"/>
      <c r="L244" s="19">
        <f t="shared" si="4"/>
        <v>43324.04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1206.9100000000001</v>
      </c>
      <c r="G247" s="41">
        <f t="shared" si="5"/>
        <v>92.29</v>
      </c>
      <c r="H247" s="41">
        <f t="shared" si="5"/>
        <v>714161.81</v>
      </c>
      <c r="I247" s="41">
        <f t="shared" si="5"/>
        <v>240.54</v>
      </c>
      <c r="J247" s="41">
        <f t="shared" si="5"/>
        <v>0</v>
      </c>
      <c r="K247" s="41">
        <f t="shared" si="5"/>
        <v>843.03</v>
      </c>
      <c r="L247" s="41">
        <f t="shared" si="5"/>
        <v>716544.58000000007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480843.76</v>
      </c>
      <c r="G257" s="41">
        <f t="shared" si="8"/>
        <v>178702.88</v>
      </c>
      <c r="H257" s="41">
        <f t="shared" si="8"/>
        <v>1223554</v>
      </c>
      <c r="I257" s="41">
        <f t="shared" si="8"/>
        <v>86615.9</v>
      </c>
      <c r="J257" s="41">
        <f t="shared" si="8"/>
        <v>6815.49</v>
      </c>
      <c r="K257" s="41">
        <f t="shared" si="8"/>
        <v>4185.01</v>
      </c>
      <c r="L257" s="41">
        <f t="shared" si="8"/>
        <v>1980717.04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24380.55</v>
      </c>
      <c r="L260" s="19">
        <f>SUM(F260:K260)</f>
        <v>24380.55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843.83</v>
      </c>
      <c r="L261" s="19">
        <f>SUM(F261:K261)</f>
        <v>843.83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38566.44</v>
      </c>
      <c r="L263" s="19">
        <f>SUM(F263:K263)</f>
        <v>38566.44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113790.82</v>
      </c>
      <c r="L270" s="41">
        <f t="shared" si="9"/>
        <v>113790.82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480843.76</v>
      </c>
      <c r="G271" s="42">
        <f t="shared" si="11"/>
        <v>178702.88</v>
      </c>
      <c r="H271" s="42">
        <f t="shared" si="11"/>
        <v>1223554</v>
      </c>
      <c r="I271" s="42">
        <f t="shared" si="11"/>
        <v>86615.9</v>
      </c>
      <c r="J271" s="42">
        <f t="shared" si="11"/>
        <v>6815.49</v>
      </c>
      <c r="K271" s="42">
        <f t="shared" si="11"/>
        <v>117975.83</v>
      </c>
      <c r="L271" s="42">
        <f t="shared" si="11"/>
        <v>2094507.86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16105.04</v>
      </c>
      <c r="G277" s="18">
        <v>6417.49</v>
      </c>
      <c r="H277" s="18"/>
      <c r="I277" s="18">
        <v>2598.09</v>
      </c>
      <c r="J277" s="18"/>
      <c r="K277" s="18"/>
      <c r="L277" s="19">
        <f>SUM(F277:K277)</f>
        <v>25120.62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11097</v>
      </c>
      <c r="H282" s="18">
        <f>2637+992.7</f>
        <v>3629.7</v>
      </c>
      <c r="I282" s="18">
        <v>712.01</v>
      </c>
      <c r="J282" s="18"/>
      <c r="K282" s="18"/>
      <c r="L282" s="19">
        <f t="shared" si="12"/>
        <v>15438.710000000001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602</v>
      </c>
      <c r="L283" s="19">
        <f t="shared" si="12"/>
        <v>602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16105.04</v>
      </c>
      <c r="G290" s="42">
        <f t="shared" si="13"/>
        <v>17514.489999999998</v>
      </c>
      <c r="H290" s="42">
        <f t="shared" si="13"/>
        <v>3629.7</v>
      </c>
      <c r="I290" s="42">
        <f t="shared" si="13"/>
        <v>3310.1000000000004</v>
      </c>
      <c r="J290" s="42">
        <f t="shared" si="13"/>
        <v>0</v>
      </c>
      <c r="K290" s="42">
        <f t="shared" si="13"/>
        <v>602</v>
      </c>
      <c r="L290" s="41">
        <f t="shared" si="13"/>
        <v>41161.33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16105.04</v>
      </c>
      <c r="G338" s="41">
        <f t="shared" si="20"/>
        <v>17514.489999999998</v>
      </c>
      <c r="H338" s="41">
        <f t="shared" si="20"/>
        <v>3629.7</v>
      </c>
      <c r="I338" s="41">
        <f t="shared" si="20"/>
        <v>3310.1000000000004</v>
      </c>
      <c r="J338" s="41">
        <f t="shared" si="20"/>
        <v>0</v>
      </c>
      <c r="K338" s="41">
        <f t="shared" si="20"/>
        <v>602</v>
      </c>
      <c r="L338" s="41">
        <f t="shared" si="20"/>
        <v>41161.33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16105.04</v>
      </c>
      <c r="G352" s="41">
        <f>G338</f>
        <v>17514.489999999998</v>
      </c>
      <c r="H352" s="41">
        <f>H338</f>
        <v>3629.7</v>
      </c>
      <c r="I352" s="41">
        <f>I338</f>
        <v>3310.1000000000004</v>
      </c>
      <c r="J352" s="41">
        <f>J338</f>
        <v>0</v>
      </c>
      <c r="K352" s="47">
        <f>K338+K351</f>
        <v>602</v>
      </c>
      <c r="L352" s="41">
        <f>L338+L351</f>
        <v>41161.33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28250.23</v>
      </c>
      <c r="G358" s="18">
        <f>12543.93+97.01</f>
        <v>12640.94</v>
      </c>
      <c r="H358" s="18">
        <v>2532.27</v>
      </c>
      <c r="I358" s="18">
        <v>16877.580000000002</v>
      </c>
      <c r="J358" s="18">
        <v>6123.57</v>
      </c>
      <c r="K358" s="18"/>
      <c r="L358" s="13">
        <f>SUM(F358:K358)</f>
        <v>66424.59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28250.23</v>
      </c>
      <c r="G362" s="47">
        <f t="shared" si="22"/>
        <v>12640.94</v>
      </c>
      <c r="H362" s="47">
        <f t="shared" si="22"/>
        <v>2532.27</v>
      </c>
      <c r="I362" s="47">
        <f t="shared" si="22"/>
        <v>16877.580000000002</v>
      </c>
      <c r="J362" s="47">
        <f t="shared" si="22"/>
        <v>6123.57</v>
      </c>
      <c r="K362" s="47">
        <f t="shared" si="22"/>
        <v>0</v>
      </c>
      <c r="L362" s="47">
        <f t="shared" si="22"/>
        <v>66424.59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15471.92</v>
      </c>
      <c r="G367" s="18"/>
      <c r="H367" s="18"/>
      <c r="I367" s="56">
        <f>SUM(F367:H367)</f>
        <v>15471.92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1405.66</v>
      </c>
      <c r="G368" s="63"/>
      <c r="H368" s="63"/>
      <c r="I368" s="56">
        <f>SUM(F368:H368)</f>
        <v>1405.66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16877.580000000002</v>
      </c>
      <c r="G369" s="47">
        <f>SUM(G367:G368)</f>
        <v>0</v>
      </c>
      <c r="H369" s="47">
        <f>SUM(H367:H368)</f>
        <v>0</v>
      </c>
      <c r="I369" s="47">
        <f>SUM(I367:I368)</f>
        <v>16877.580000000002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35000</v>
      </c>
      <c r="H397" s="18"/>
      <c r="I397" s="18"/>
      <c r="J397" s="24" t="s">
        <v>289</v>
      </c>
      <c r="K397" s="24" t="s">
        <v>289</v>
      </c>
      <c r="L397" s="56">
        <f t="shared" si="26"/>
        <v>35000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15000</v>
      </c>
      <c r="H398" s="18"/>
      <c r="I398" s="18"/>
      <c r="J398" s="24" t="s">
        <v>289</v>
      </c>
      <c r="K398" s="24" t="s">
        <v>289</v>
      </c>
      <c r="L398" s="56">
        <f t="shared" si="26"/>
        <v>15000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35000</v>
      </c>
      <c r="I423" s="18"/>
      <c r="J423" s="18"/>
      <c r="K423" s="18"/>
      <c r="L423" s="56">
        <f t="shared" si="29"/>
        <v>35000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>
        <v>15000</v>
      </c>
      <c r="I424" s="18"/>
      <c r="J424" s="18"/>
      <c r="K424" s="18"/>
      <c r="L424" s="56">
        <f t="shared" si="29"/>
        <v>15000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50000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50000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50000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50000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93701.93</v>
      </c>
      <c r="H440" s="18"/>
      <c r="I440" s="56">
        <f t="shared" si="33"/>
        <v>93701.93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93701.93</v>
      </c>
      <c r="H446" s="13">
        <f>SUM(H439:H445)</f>
        <v>0</v>
      </c>
      <c r="I446" s="13">
        <f>SUM(I439:I445)</f>
        <v>93701.93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93701.93</v>
      </c>
      <c r="H459" s="18"/>
      <c r="I459" s="56">
        <f t="shared" si="34"/>
        <v>93701.93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93701.93</v>
      </c>
      <c r="H460" s="83">
        <f>SUM(H454:H459)</f>
        <v>0</v>
      </c>
      <c r="I460" s="83">
        <f>SUM(I454:I459)</f>
        <v>93701.93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93701.93</v>
      </c>
      <c r="H461" s="42">
        <f>H452+H460</f>
        <v>0</v>
      </c>
      <c r="I461" s="42">
        <f>I452+I460</f>
        <v>93701.93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178425.96</v>
      </c>
      <c r="G465" s="18"/>
      <c r="H465" s="18"/>
      <c r="I465" s="18"/>
      <c r="J465" s="18">
        <v>93701.93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1962917.17</f>
        <v>1962917.17</v>
      </c>
      <c r="G468" s="18">
        <v>66424.59</v>
      </c>
      <c r="H468" s="18">
        <v>42360.03</v>
      </c>
      <c r="I468" s="18"/>
      <c r="J468" s="18">
        <v>50000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50000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2012917.17</v>
      </c>
      <c r="G470" s="53">
        <f>SUM(G468:G469)</f>
        <v>66424.59</v>
      </c>
      <c r="H470" s="53">
        <f>SUM(H468:H469)</f>
        <v>42360.03</v>
      </c>
      <c r="I470" s="53">
        <f>SUM(I468:I469)</f>
        <v>0</v>
      </c>
      <c r="J470" s="53">
        <f>SUM(J468:J469)</f>
        <v>50000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2036681.1+284.85+7541.91+50000</f>
        <v>2094507.86</v>
      </c>
      <c r="G472" s="18">
        <v>66424.59</v>
      </c>
      <c r="H472" s="18">
        <f>41161.33</f>
        <v>41161.33</v>
      </c>
      <c r="I472" s="18"/>
      <c r="J472" s="18">
        <v>50000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2094507.86</v>
      </c>
      <c r="G474" s="53">
        <f>SUM(G472:G473)</f>
        <v>66424.59</v>
      </c>
      <c r="H474" s="53">
        <f>SUM(H472:H473)</f>
        <v>41161.33</v>
      </c>
      <c r="I474" s="53">
        <f>SUM(I472:I473)</f>
        <v>0</v>
      </c>
      <c r="J474" s="53">
        <f>SUM(J472:J473)</f>
        <v>50000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96835.269999999786</v>
      </c>
      <c r="G476" s="53">
        <f>(G465+G470)- G474</f>
        <v>0</v>
      </c>
      <c r="H476" s="53">
        <f>(H465+H470)- H474</f>
        <v>1198.6999999999971</v>
      </c>
      <c r="I476" s="53">
        <f>(I465+I470)- I474</f>
        <v>0</v>
      </c>
      <c r="J476" s="53">
        <f>(J465+J470)- J474</f>
        <v>93701.93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911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49638.63</v>
      </c>
      <c r="G521" s="18">
        <v>20898.57</v>
      </c>
      <c r="H521" s="18">
        <v>16032.62</v>
      </c>
      <c r="I521" s="18">
        <v>1328.56</v>
      </c>
      <c r="J521" s="18"/>
      <c r="K521" s="18">
        <v>405</v>
      </c>
      <c r="L521" s="88">
        <f>SUM(F521:K521)</f>
        <v>88303.37999999999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5996.07</v>
      </c>
      <c r="I522" s="18"/>
      <c r="J522" s="18"/>
      <c r="K522" s="18"/>
      <c r="L522" s="88">
        <f>SUM(F522:K522)</f>
        <v>5996.07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88696.8</v>
      </c>
      <c r="I523" s="18"/>
      <c r="J523" s="18"/>
      <c r="K523" s="18"/>
      <c r="L523" s="88">
        <f>SUM(F523:K523)</f>
        <v>88696.8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49638.63</v>
      </c>
      <c r="G524" s="108">
        <f t="shared" ref="G524:L524" si="36">SUM(G521:G523)</f>
        <v>20898.57</v>
      </c>
      <c r="H524" s="108">
        <f t="shared" si="36"/>
        <v>110725.49</v>
      </c>
      <c r="I524" s="108">
        <f t="shared" si="36"/>
        <v>1328.56</v>
      </c>
      <c r="J524" s="108">
        <f t="shared" si="36"/>
        <v>0</v>
      </c>
      <c r="K524" s="108">
        <f t="shared" si="36"/>
        <v>405</v>
      </c>
      <c r="L524" s="89">
        <f t="shared" si="36"/>
        <v>182996.25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22390.46</v>
      </c>
      <c r="I526" s="18">
        <v>26.09</v>
      </c>
      <c r="J526" s="18"/>
      <c r="K526" s="18"/>
      <c r="L526" s="88">
        <f>SUM(F526:K526)</f>
        <v>22416.55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7583.25</v>
      </c>
      <c r="I528" s="18"/>
      <c r="J528" s="18"/>
      <c r="K528" s="18"/>
      <c r="L528" s="88">
        <f>SUM(F528:K528)</f>
        <v>7583.25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29973.71</v>
      </c>
      <c r="I529" s="89">
        <f t="shared" si="37"/>
        <v>26.09</v>
      </c>
      <c r="J529" s="89">
        <f t="shared" si="37"/>
        <v>0</v>
      </c>
      <c r="K529" s="89">
        <f t="shared" si="37"/>
        <v>0</v>
      </c>
      <c r="L529" s="89">
        <f t="shared" si="37"/>
        <v>29999.8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5386.89</v>
      </c>
      <c r="I541" s="18"/>
      <c r="J541" s="18"/>
      <c r="K541" s="18"/>
      <c r="L541" s="88">
        <f>SUM(F541:K541)</f>
        <v>5386.89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8787.1200000000008</v>
      </c>
      <c r="I543" s="18"/>
      <c r="J543" s="18"/>
      <c r="K543" s="18"/>
      <c r="L543" s="88">
        <f>SUM(F543:K543)</f>
        <v>8787.1200000000008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14174.010000000002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14174.010000000002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49638.63</v>
      </c>
      <c r="G545" s="89">
        <f t="shared" ref="G545:L545" si="41">G524+G529+G534+G539+G544</f>
        <v>20898.57</v>
      </c>
      <c r="H545" s="89">
        <f t="shared" si="41"/>
        <v>154873.21000000002</v>
      </c>
      <c r="I545" s="89">
        <f t="shared" si="41"/>
        <v>1354.6499999999999</v>
      </c>
      <c r="J545" s="89">
        <f t="shared" si="41"/>
        <v>0</v>
      </c>
      <c r="K545" s="89">
        <f t="shared" si="41"/>
        <v>405</v>
      </c>
      <c r="L545" s="89">
        <f t="shared" si="41"/>
        <v>227170.06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88303.37999999999</v>
      </c>
      <c r="G549" s="87">
        <f>L526</f>
        <v>22416.55</v>
      </c>
      <c r="H549" s="87">
        <f>L531</f>
        <v>0</v>
      </c>
      <c r="I549" s="87">
        <f>L536</f>
        <v>0</v>
      </c>
      <c r="J549" s="87">
        <f>L541</f>
        <v>5386.89</v>
      </c>
      <c r="K549" s="87">
        <f>SUM(F549:J549)</f>
        <v>116106.81999999999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5996.07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5996.07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88696.8</v>
      </c>
      <c r="G551" s="87">
        <f>L528</f>
        <v>7583.25</v>
      </c>
      <c r="H551" s="87">
        <f>L533</f>
        <v>0</v>
      </c>
      <c r="I551" s="87">
        <f>L538</f>
        <v>0</v>
      </c>
      <c r="J551" s="87">
        <f>L543</f>
        <v>8787.1200000000008</v>
      </c>
      <c r="K551" s="87">
        <f>SUM(F551:J551)</f>
        <v>105067.17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182996.25</v>
      </c>
      <c r="G552" s="89">
        <f t="shared" si="42"/>
        <v>29999.8</v>
      </c>
      <c r="H552" s="89">
        <f t="shared" si="42"/>
        <v>0</v>
      </c>
      <c r="I552" s="89">
        <f t="shared" si="42"/>
        <v>0</v>
      </c>
      <c r="J552" s="89">
        <f t="shared" si="42"/>
        <v>14174.010000000002</v>
      </c>
      <c r="K552" s="89">
        <f t="shared" si="42"/>
        <v>227170.06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16105.04</v>
      </c>
      <c r="G557" s="18">
        <v>6417.49</v>
      </c>
      <c r="H557" s="18"/>
      <c r="I557" s="18">
        <v>2598.09</v>
      </c>
      <c r="J557" s="18"/>
      <c r="K557" s="18"/>
      <c r="L557" s="88">
        <f>SUM(F557:K557)</f>
        <v>25120.62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16105.04</v>
      </c>
      <c r="G560" s="108">
        <f t="shared" si="43"/>
        <v>6417.49</v>
      </c>
      <c r="H560" s="108">
        <f t="shared" si="43"/>
        <v>0</v>
      </c>
      <c r="I560" s="108">
        <f t="shared" si="43"/>
        <v>2598.09</v>
      </c>
      <c r="J560" s="108">
        <f t="shared" si="43"/>
        <v>0</v>
      </c>
      <c r="K560" s="108">
        <f t="shared" si="43"/>
        <v>0</v>
      </c>
      <c r="L560" s="89">
        <f t="shared" si="43"/>
        <v>25120.62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16105.04</v>
      </c>
      <c r="G571" s="89">
        <f t="shared" ref="G571:L571" si="46">G560+G565+G570</f>
        <v>6417.49</v>
      </c>
      <c r="H571" s="89">
        <f t="shared" si="46"/>
        <v>0</v>
      </c>
      <c r="I571" s="89">
        <f t="shared" si="46"/>
        <v>2598.09</v>
      </c>
      <c r="J571" s="89">
        <f t="shared" si="46"/>
        <v>0</v>
      </c>
      <c r="K571" s="89">
        <f t="shared" si="46"/>
        <v>0</v>
      </c>
      <c r="L571" s="89">
        <f t="shared" si="46"/>
        <v>25120.62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199727.95</v>
      </c>
      <c r="H575" s="18">
        <f>448565.26+36421.44</f>
        <v>484986.7</v>
      </c>
      <c r="I575" s="87">
        <f>SUM(F575:H575)</f>
        <v>684714.65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f>68850+16624.36</f>
        <v>85474.36</v>
      </c>
      <c r="I576" s="87">
        <f t="shared" ref="I576:I587" si="47">SUM(F576:H576)</f>
        <v>85474.36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>
        <v>5996.07</v>
      </c>
      <c r="H578" s="18">
        <v>50835.360000000001</v>
      </c>
      <c r="I578" s="87">
        <f t="shared" si="47"/>
        <v>56831.43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42517.49</v>
      </c>
      <c r="I591" s="18">
        <v>18285.53</v>
      </c>
      <c r="J591" s="18">
        <v>33471.22</v>
      </c>
      <c r="K591" s="104">
        <f t="shared" ref="K591:K597" si="48">SUM(H591:J591)</f>
        <v>94274.239999999991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5386.89</v>
      </c>
      <c r="I592" s="18"/>
      <c r="J592" s="18">
        <v>8787.1200000000008</v>
      </c>
      <c r="K592" s="104">
        <f t="shared" si="48"/>
        <v>14174.010000000002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1065.7</v>
      </c>
      <c r="K593" s="104">
        <f t="shared" si="48"/>
        <v>1065.7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1547.41</v>
      </c>
      <c r="I595" s="18"/>
      <c r="J595" s="18"/>
      <c r="K595" s="104">
        <f t="shared" si="48"/>
        <v>1547.41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49451.79</v>
      </c>
      <c r="I598" s="108">
        <f>SUM(I591:I597)</f>
        <v>18285.53</v>
      </c>
      <c r="J598" s="108">
        <f>SUM(J591:J597)</f>
        <v>43324.04</v>
      </c>
      <c r="K598" s="108">
        <f>SUM(K591:K597)</f>
        <v>111061.36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6815.49</v>
      </c>
      <c r="I604" s="18"/>
      <c r="J604" s="18"/>
      <c r="K604" s="104">
        <f>SUM(H604:J604)</f>
        <v>6815.49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6815.49</v>
      </c>
      <c r="I605" s="108">
        <f>SUM(I602:I604)</f>
        <v>0</v>
      </c>
      <c r="J605" s="108">
        <f>SUM(J602:J604)</f>
        <v>0</v>
      </c>
      <c r="K605" s="108">
        <f>SUM(K602:K604)</f>
        <v>6815.49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4535.63</v>
      </c>
      <c r="G611" s="18">
        <v>890.72</v>
      </c>
      <c r="H611" s="18">
        <v>480.52</v>
      </c>
      <c r="I611" s="18">
        <v>20.190000000000001</v>
      </c>
      <c r="J611" s="18"/>
      <c r="K611" s="18"/>
      <c r="L611" s="88">
        <f>SUM(F611:K611)</f>
        <v>5927.06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789.96</v>
      </c>
      <c r="I613" s="18"/>
      <c r="J613" s="18"/>
      <c r="K613" s="18"/>
      <c r="L613" s="88">
        <f>SUM(F613:K613)</f>
        <v>789.96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4535.63</v>
      </c>
      <c r="G614" s="108">
        <f t="shared" si="49"/>
        <v>890.72</v>
      </c>
      <c r="H614" s="108">
        <f t="shared" si="49"/>
        <v>1270.48</v>
      </c>
      <c r="I614" s="108">
        <f t="shared" si="49"/>
        <v>20.190000000000001</v>
      </c>
      <c r="J614" s="108">
        <f t="shared" si="49"/>
        <v>0</v>
      </c>
      <c r="K614" s="108">
        <f t="shared" si="49"/>
        <v>0</v>
      </c>
      <c r="L614" s="89">
        <f t="shared" si="49"/>
        <v>6717.02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128616.34</v>
      </c>
      <c r="H617" s="109">
        <f>SUM(F52)</f>
        <v>128616.34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2485.3000000000002</v>
      </c>
      <c r="H618" s="109">
        <f>SUM(G52)</f>
        <v>2485.3000000000002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4985.09</v>
      </c>
      <c r="H619" s="109">
        <f>SUM(H52)</f>
        <v>4985.09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93701.93</v>
      </c>
      <c r="H621" s="109">
        <f>SUM(J52)</f>
        <v>93701.93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96835.27</v>
      </c>
      <c r="H622" s="109">
        <f>F476</f>
        <v>96835.269999999786</v>
      </c>
      <c r="I622" s="121" t="s">
        <v>101</v>
      </c>
      <c r="J622" s="109">
        <f t="shared" ref="J622:J655" si="50">G622-H622</f>
        <v>2.1827872842550278E-10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1198.7</v>
      </c>
      <c r="H624" s="109">
        <f>H476</f>
        <v>1198.6999999999971</v>
      </c>
      <c r="I624" s="121" t="s">
        <v>103</v>
      </c>
      <c r="J624" s="109">
        <f t="shared" si="50"/>
        <v>2.9558577807620168E-12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93701.93</v>
      </c>
      <c r="H626" s="109">
        <f>J476</f>
        <v>93701.93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1962917.17</v>
      </c>
      <c r="H627" s="104">
        <f>SUM(F468)</f>
        <v>1962917.17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66424.59</v>
      </c>
      <c r="H628" s="104">
        <f>SUM(G468)</f>
        <v>66424.59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42360.03</v>
      </c>
      <c r="H629" s="104">
        <f>SUM(H468)</f>
        <v>42360.03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50000</v>
      </c>
      <c r="H631" s="104">
        <f>SUM(J468)</f>
        <v>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2094507.86</v>
      </c>
      <c r="H632" s="104">
        <f>SUM(F472)</f>
        <v>2094507.86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41161.33</v>
      </c>
      <c r="H633" s="104">
        <f>SUM(H472)</f>
        <v>41161.33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16877.580000000002</v>
      </c>
      <c r="H634" s="104">
        <f>I369</f>
        <v>16877.580000000002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66424.59</v>
      </c>
      <c r="H635" s="104">
        <f>SUM(G472)</f>
        <v>66424.59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50000</v>
      </c>
      <c r="H637" s="164">
        <f>SUM(J468)</f>
        <v>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50000</v>
      </c>
      <c r="H638" s="164">
        <f>SUM(J472)</f>
        <v>50000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93701.93</v>
      </c>
      <c r="H640" s="104">
        <f>SUM(G461)</f>
        <v>93701.93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93701.93</v>
      </c>
      <c r="H642" s="104">
        <f>SUM(I461)</f>
        <v>93701.93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50000</v>
      </c>
      <c r="H646" s="104">
        <f>L408</f>
        <v>50000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111061.36</v>
      </c>
      <c r="H647" s="104">
        <f>L208+L226+L244</f>
        <v>111061.36000000002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6815.49</v>
      </c>
      <c r="H648" s="104">
        <f>(J257+J338)-(J255+J336)</f>
        <v>6815.49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49451.79</v>
      </c>
      <c r="H649" s="104">
        <f>H598</f>
        <v>49451.79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18285.53</v>
      </c>
      <c r="H650" s="104">
        <f>I598</f>
        <v>18285.53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43324.04</v>
      </c>
      <c r="H651" s="104">
        <f>J598</f>
        <v>43324.04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38566.44</v>
      </c>
      <c r="H652" s="104">
        <f>K263+K345</f>
        <v>38566.44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1129470.7500000002</v>
      </c>
      <c r="G660" s="19">
        <f>(L229+L309+L359)</f>
        <v>242287.63</v>
      </c>
      <c r="H660" s="19">
        <f>(L247+L328+L360)</f>
        <v>716544.58000000007</v>
      </c>
      <c r="I660" s="19">
        <f>SUM(F660:H660)</f>
        <v>2088302.9600000004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13976.53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13976.53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49451.79</v>
      </c>
      <c r="G662" s="19">
        <f>(L226+L306)-(J226+J306)</f>
        <v>18285.53</v>
      </c>
      <c r="H662" s="19">
        <f>(L244+L325)-(J244+J325)</f>
        <v>43324.04</v>
      </c>
      <c r="I662" s="19">
        <f>SUM(F662:H662)</f>
        <v>111061.36000000002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12742.55</v>
      </c>
      <c r="G663" s="199">
        <f>SUM(G575:G587)+SUM(I602:I604)+L612</f>
        <v>205724.02000000002</v>
      </c>
      <c r="H663" s="199">
        <f>SUM(H575:H587)+SUM(J602:J604)+L613</f>
        <v>622086.38</v>
      </c>
      <c r="I663" s="19">
        <f>SUM(F663:H663)</f>
        <v>840552.95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1053299.8800000004</v>
      </c>
      <c r="G664" s="19">
        <f>G660-SUM(G661:G663)</f>
        <v>18278.079999999987</v>
      </c>
      <c r="H664" s="19">
        <f>H660-SUM(H661:H663)</f>
        <v>51134.160000000033</v>
      </c>
      <c r="I664" s="19">
        <f>I660-SUM(I661:I663)</f>
        <v>1122712.1200000006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60.51</v>
      </c>
      <c r="G665" s="248"/>
      <c r="H665" s="248"/>
      <c r="I665" s="19">
        <f>SUM(F665:H665)</f>
        <v>60.51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17407.04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18554.16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-18278.080000000002</v>
      </c>
      <c r="H669" s="18">
        <v>-51134.16</v>
      </c>
      <c r="I669" s="19">
        <f>SUM(F669:H669)</f>
        <v>-69412.240000000005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17407.04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17407.04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5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Bath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280347.84000000003</v>
      </c>
      <c r="C9" s="229">
        <f>'DOE25'!G197+'DOE25'!G215+'DOE25'!G233+'DOE25'!G276+'DOE25'!G295+'DOE25'!G314</f>
        <v>104905.21</v>
      </c>
    </row>
    <row r="10" spans="1:3" x14ac:dyDescent="0.2">
      <c r="A10" t="s">
        <v>779</v>
      </c>
      <c r="B10" s="240">
        <v>276533.34000000003</v>
      </c>
      <c r="C10" s="240">
        <v>104613.35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3814.5</v>
      </c>
      <c r="C12" s="240">
        <v>291.86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280347.84000000003</v>
      </c>
      <c r="C13" s="231">
        <f>SUM(C10:C12)</f>
        <v>104905.21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66093.67</v>
      </c>
      <c r="C18" s="229">
        <f>'DOE25'!G198+'DOE25'!G216+'DOE25'!G234+'DOE25'!G277+'DOE25'!G296+'DOE25'!G315</f>
        <v>27563.360000000001</v>
      </c>
    </row>
    <row r="19" spans="1:3" x14ac:dyDescent="0.2">
      <c r="A19" t="s">
        <v>779</v>
      </c>
      <c r="B19" s="240">
        <v>44144</v>
      </c>
      <c r="C19" s="240">
        <v>17836.11</v>
      </c>
    </row>
    <row r="20" spans="1:3" x14ac:dyDescent="0.2">
      <c r="A20" t="s">
        <v>780</v>
      </c>
      <c r="B20" s="240">
        <v>21153.62</v>
      </c>
      <c r="C20" s="240">
        <v>9666.33</v>
      </c>
    </row>
    <row r="21" spans="1:3" x14ac:dyDescent="0.2">
      <c r="A21" t="s">
        <v>781</v>
      </c>
      <c r="B21" s="240">
        <v>796.05</v>
      </c>
      <c r="C21" s="240">
        <v>60.92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66093.67</v>
      </c>
      <c r="C22" s="231">
        <f>SUM(C19:C21)</f>
        <v>27563.360000000001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5135.63</v>
      </c>
      <c r="C36" s="235">
        <f>'DOE25'!G200+'DOE25'!G218+'DOE25'!G236+'DOE25'!G279+'DOE25'!G298+'DOE25'!G317</f>
        <v>936.62</v>
      </c>
    </row>
    <row r="37" spans="1:3" x14ac:dyDescent="0.2">
      <c r="A37" t="s">
        <v>779</v>
      </c>
      <c r="B37" s="240">
        <v>3840</v>
      </c>
      <c r="C37" s="240">
        <v>837.5</v>
      </c>
    </row>
    <row r="38" spans="1:3" x14ac:dyDescent="0.2">
      <c r="A38" t="s">
        <v>780</v>
      </c>
      <c r="B38" s="240">
        <v>695.63</v>
      </c>
      <c r="C38" s="240">
        <v>53.22</v>
      </c>
    </row>
    <row r="39" spans="1:3" x14ac:dyDescent="0.2">
      <c r="A39" t="s">
        <v>781</v>
      </c>
      <c r="B39" s="240">
        <v>600</v>
      </c>
      <c r="C39" s="240">
        <v>45.9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5135.63</v>
      </c>
      <c r="C40" s="231">
        <f>SUM(C37:C39)</f>
        <v>936.62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Bath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1389486.02</v>
      </c>
      <c r="D5" s="20">
        <f>SUM('DOE25'!L197:L200)+SUM('DOE25'!L215:L218)+SUM('DOE25'!L233:L236)-F5-G5</f>
        <v>1382007.73</v>
      </c>
      <c r="E5" s="243"/>
      <c r="F5" s="255">
        <f>SUM('DOE25'!J197:J200)+SUM('DOE25'!J215:J218)+SUM('DOE25'!J233:J236)</f>
        <v>5711.83</v>
      </c>
      <c r="G5" s="53">
        <f>SUM('DOE25'!K197:K200)+SUM('DOE25'!K215:K218)+SUM('DOE25'!K233:K236)</f>
        <v>1766.46</v>
      </c>
      <c r="H5" s="259"/>
    </row>
    <row r="6" spans="1:9" x14ac:dyDescent="0.2">
      <c r="A6" s="32">
        <v>2100</v>
      </c>
      <c r="B6" t="s">
        <v>801</v>
      </c>
      <c r="C6" s="245">
        <f t="shared" si="0"/>
        <v>60642.630000000005</v>
      </c>
      <c r="D6" s="20">
        <f>'DOE25'!L202+'DOE25'!L220+'DOE25'!L238-F6-G6</f>
        <v>59838.97</v>
      </c>
      <c r="E6" s="243"/>
      <c r="F6" s="255">
        <f>'DOE25'!J202+'DOE25'!J220+'DOE25'!J238</f>
        <v>803.66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27846.11</v>
      </c>
      <c r="D7" s="20">
        <f>'DOE25'!L203+'DOE25'!L221+'DOE25'!L239-F7-G7</f>
        <v>27846.11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9749.0099999999911</v>
      </c>
      <c r="D8" s="243"/>
      <c r="E8" s="20">
        <f>'DOE25'!L204+'DOE25'!L222+'DOE25'!L240-F8-G8-D9-D11</f>
        <v>7400.4599999999919</v>
      </c>
      <c r="F8" s="255">
        <f>'DOE25'!J204+'DOE25'!J222+'DOE25'!J240</f>
        <v>0</v>
      </c>
      <c r="G8" s="53">
        <f>'DOE25'!K204+'DOE25'!K222+'DOE25'!K240</f>
        <v>2348.5500000000002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6738.47</v>
      </c>
      <c r="D9" s="244">
        <v>6738.47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97656</v>
      </c>
      <c r="D11" s="244">
        <v>97656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128907.84999999999</v>
      </c>
      <c r="D12" s="20">
        <f>'DOE25'!L205+'DOE25'!L223+'DOE25'!L241-F12-G12</f>
        <v>128837.84999999999</v>
      </c>
      <c r="E12" s="243"/>
      <c r="F12" s="255">
        <f>'DOE25'!J205+'DOE25'!J223+'DOE25'!J241</f>
        <v>0</v>
      </c>
      <c r="G12" s="53">
        <f>'DOE25'!K205+'DOE25'!K223+'DOE25'!K241</f>
        <v>70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147517.33000000002</v>
      </c>
      <c r="D14" s="20">
        <f>'DOE25'!L207+'DOE25'!L225+'DOE25'!L243-F14-G14</f>
        <v>147217.33000000002</v>
      </c>
      <c r="E14" s="243"/>
      <c r="F14" s="255">
        <f>'DOE25'!J207+'DOE25'!J225+'DOE25'!J243</f>
        <v>300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111061.36000000002</v>
      </c>
      <c r="D15" s="20">
        <f>'DOE25'!L208+'DOE25'!L226+'DOE25'!L244-F15-G15</f>
        <v>111061.36000000002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1112.26</v>
      </c>
      <c r="D16" s="243"/>
      <c r="E16" s="20">
        <f>'DOE25'!L209+'DOE25'!L227+'DOE25'!L245-F16-G16</f>
        <v>1112.26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25224.38</v>
      </c>
      <c r="D25" s="243"/>
      <c r="E25" s="243"/>
      <c r="F25" s="258"/>
      <c r="G25" s="256"/>
      <c r="H25" s="257">
        <f>'DOE25'!L260+'DOE25'!L261+'DOE25'!L341+'DOE25'!L342</f>
        <v>25224.38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50952.67</v>
      </c>
      <c r="D29" s="20">
        <f>'DOE25'!L358+'DOE25'!L359+'DOE25'!L360-'DOE25'!I367-F29-G29</f>
        <v>44829.1</v>
      </c>
      <c r="E29" s="243"/>
      <c r="F29" s="255">
        <f>'DOE25'!J358+'DOE25'!J359+'DOE25'!J360</f>
        <v>6123.57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41161.33</v>
      </c>
      <c r="D31" s="20">
        <f>'DOE25'!L290+'DOE25'!L309+'DOE25'!L328+'DOE25'!L333+'DOE25'!L334+'DOE25'!L335-F31-G31</f>
        <v>40559.33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602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2046592.2500000005</v>
      </c>
      <c r="E33" s="246">
        <f>SUM(E5:E31)</f>
        <v>15512.719999999992</v>
      </c>
      <c r="F33" s="246">
        <f>SUM(F5:F31)</f>
        <v>12939.06</v>
      </c>
      <c r="G33" s="246">
        <f>SUM(G5:G31)</f>
        <v>4787.01</v>
      </c>
      <c r="H33" s="246">
        <f>SUM(H5:H31)</f>
        <v>25224.38</v>
      </c>
    </row>
    <row r="35" spans="2:8" ht="12" thickBot="1" x14ac:dyDescent="0.25">
      <c r="B35" s="253" t="s">
        <v>847</v>
      </c>
      <c r="D35" s="254">
        <f>E33</f>
        <v>15512.719999999992</v>
      </c>
      <c r="E35" s="249"/>
    </row>
    <row r="36" spans="2:8" ht="12" thickTop="1" x14ac:dyDescent="0.2">
      <c r="B36" t="s">
        <v>815</v>
      </c>
      <c r="D36" s="20">
        <f>D33</f>
        <v>2046592.2500000005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3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107747.97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93701.93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20264.37</v>
      </c>
      <c r="D12" s="95">
        <f>'DOE25'!G13</f>
        <v>2388.29</v>
      </c>
      <c r="E12" s="95">
        <f>'DOE25'!H13</f>
        <v>4985.09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604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97.01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128616.34</v>
      </c>
      <c r="D18" s="41">
        <f>SUM(D8:D17)</f>
        <v>2485.3000000000002</v>
      </c>
      <c r="E18" s="41">
        <f>SUM(E8:E17)</f>
        <v>4985.09</v>
      </c>
      <c r="F18" s="41">
        <f>SUM(F8:F17)</f>
        <v>0</v>
      </c>
      <c r="G18" s="41">
        <f>SUM(G8:G17)</f>
        <v>93701.93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6271.69</v>
      </c>
      <c r="D21" s="95">
        <f>'DOE25'!G22</f>
        <v>2388.29</v>
      </c>
      <c r="E21" s="95">
        <f>'DOE25'!H22</f>
        <v>3786.39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25278.03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231.35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97.01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31781.069999999996</v>
      </c>
      <c r="D31" s="41">
        <f>SUM(D21:D30)</f>
        <v>2485.3000000000002</v>
      </c>
      <c r="E31" s="41">
        <f>SUM(E21:E30)</f>
        <v>3786.39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93701.93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284.85000000000002</v>
      </c>
      <c r="D48" s="95">
        <f>'DOE25'!G49</f>
        <v>0</v>
      </c>
      <c r="E48" s="95">
        <f>'DOE25'!H49</f>
        <v>1198.7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96550.42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96835.27</v>
      </c>
      <c r="D50" s="41">
        <f>SUM(D34:D49)</f>
        <v>0</v>
      </c>
      <c r="E50" s="41">
        <f>SUM(E34:E49)</f>
        <v>1198.7</v>
      </c>
      <c r="F50" s="41">
        <f>SUM(F34:F49)</f>
        <v>0</v>
      </c>
      <c r="G50" s="41">
        <f>SUM(G34:G49)</f>
        <v>93701.93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128616.34</v>
      </c>
      <c r="D51" s="41">
        <f>D50+D31</f>
        <v>2485.3000000000002</v>
      </c>
      <c r="E51" s="41">
        <f>E50+E31</f>
        <v>4985.09</v>
      </c>
      <c r="F51" s="41">
        <f>F50+F31</f>
        <v>0</v>
      </c>
      <c r="G51" s="41">
        <f>G50+G31</f>
        <v>93701.93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1174204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108.09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13544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1650.9099999999999</v>
      </c>
      <c r="D61" s="95">
        <f>SUM('DOE25'!G98:G110)</f>
        <v>432.53</v>
      </c>
      <c r="E61" s="95">
        <f>SUM('DOE25'!H98:H110)</f>
        <v>1198.6999999999998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1758.9999999999998</v>
      </c>
      <c r="D62" s="130">
        <f>SUM(D57:D61)</f>
        <v>13976.53</v>
      </c>
      <c r="E62" s="130">
        <f>SUM(E57:E61)</f>
        <v>1198.6999999999998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1175963</v>
      </c>
      <c r="D63" s="22">
        <f>D56+D62</f>
        <v>13976.53</v>
      </c>
      <c r="E63" s="22">
        <f>E56+E62</f>
        <v>1198.6999999999998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473370.51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259039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732409.51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31869.96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463.04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31869.96</v>
      </c>
      <c r="D78" s="130">
        <f>SUM(D72:D77)</f>
        <v>463.04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764279.47</v>
      </c>
      <c r="D81" s="130">
        <f>SUM(D79:D80)+D78+D70</f>
        <v>463.04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444.85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22464.75</v>
      </c>
      <c r="D88" s="95">
        <f>SUM('DOE25'!G153:G161)</f>
        <v>13321.57</v>
      </c>
      <c r="E88" s="95">
        <f>SUM('DOE25'!H153:H161)</f>
        <v>40716.479999999996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209.95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22674.7</v>
      </c>
      <c r="D91" s="131">
        <f>SUM(D85:D90)</f>
        <v>13321.57</v>
      </c>
      <c r="E91" s="131">
        <f>SUM(E85:E90)</f>
        <v>41161.329999999994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38566.44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97.01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38663.450000000004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1962917.17</v>
      </c>
      <c r="D104" s="86">
        <f>D63+D81+D91+D103</f>
        <v>66424.59</v>
      </c>
      <c r="E104" s="86">
        <f>E63+E81+E91+E103</f>
        <v>42360.029999999992</v>
      </c>
      <c r="F104" s="86">
        <f>F63+F81+F91+F103</f>
        <v>0</v>
      </c>
      <c r="G104" s="86">
        <f>G63+G81+G103</f>
        <v>50000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1179516.33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185355.02000000002</v>
      </c>
      <c r="D110" s="24" t="s">
        <v>289</v>
      </c>
      <c r="E110" s="95">
        <f>('DOE25'!L277)+('DOE25'!L296)+('DOE25'!L315)</f>
        <v>25120.62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16624.36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7990.31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1389486.0200000003</v>
      </c>
      <c r="D115" s="86">
        <f>SUM(D109:D114)</f>
        <v>0</v>
      </c>
      <c r="E115" s="86">
        <f>SUM(E109:E114)</f>
        <v>25120.62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60642.630000000005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27846.11</v>
      </c>
      <c r="D119" s="24" t="s">
        <v>289</v>
      </c>
      <c r="E119" s="95">
        <f>+('DOE25'!L282)+('DOE25'!L301)+('DOE25'!L320)</f>
        <v>15438.710000000001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114143.48</v>
      </c>
      <c r="D120" s="24" t="s">
        <v>289</v>
      </c>
      <c r="E120" s="95">
        <f>+('DOE25'!L283)+('DOE25'!L302)+('DOE25'!L321)</f>
        <v>602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128907.84999999999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147517.33000000002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111061.36000000002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1112.26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66424.59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591231.02</v>
      </c>
      <c r="D128" s="86">
        <f>SUM(D118:D127)</f>
        <v>66424.59</v>
      </c>
      <c r="E128" s="86">
        <f>SUM(E118:E127)</f>
        <v>16040.710000000001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24380.55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843.83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38566.44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113790.82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2094507.8600000003</v>
      </c>
      <c r="D145" s="86">
        <f>(D115+D128+D144)</f>
        <v>66424.59</v>
      </c>
      <c r="E145" s="86">
        <f>(E115+E128+E144)</f>
        <v>41161.33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Bath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17407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17407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1179516</v>
      </c>
      <c r="D10" s="182">
        <f>ROUND((C10/$C$28)*100,1)</f>
        <v>56.8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210476</v>
      </c>
      <c r="D11" s="182">
        <f>ROUND((C11/$C$28)*100,1)</f>
        <v>10.1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16624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7990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60643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43285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115858</v>
      </c>
      <c r="D17" s="182">
        <f t="shared" si="0"/>
        <v>5.6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128908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147517</v>
      </c>
      <c r="D20" s="182">
        <f t="shared" si="0"/>
        <v>7.1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111061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844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52448.47</v>
      </c>
      <c r="D27" s="182">
        <f t="shared" si="0"/>
        <v>2.5</v>
      </c>
    </row>
    <row r="28" spans="1:4" x14ac:dyDescent="0.2">
      <c r="B28" s="187" t="s">
        <v>723</v>
      </c>
      <c r="C28" s="180">
        <f>SUM(C10:C27)</f>
        <v>2075170.47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2075170.47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24381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1174204</v>
      </c>
      <c r="D35" s="182">
        <f t="shared" ref="D35:D40" si="1">ROUND((C35/$C$41)*100,1)</f>
        <v>58.2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2957.6999999999534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732410</v>
      </c>
      <c r="D37" s="182">
        <f t="shared" si="1"/>
        <v>36.299999999999997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32333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77158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97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2019159.7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Bath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2014-09-25T18:17:49Z</cp:lastPrinted>
  <dcterms:created xsi:type="dcterms:W3CDTF">1997-12-04T19:04:30Z</dcterms:created>
  <dcterms:modified xsi:type="dcterms:W3CDTF">2014-11-04T17:11:10Z</dcterms:modified>
</cp:coreProperties>
</file>