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68" i="1" l="1"/>
  <c r="G472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D17" i="13" s="1"/>
  <c r="C17" i="13" s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L286" i="1"/>
  <c r="E123" i="2" s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C57" i="2" s="1"/>
  <c r="F94" i="1"/>
  <c r="C58" i="2" s="1"/>
  <c r="F111" i="1"/>
  <c r="G111" i="1"/>
  <c r="G112" i="1" s="1"/>
  <c r="H79" i="1"/>
  <c r="E57" i="2" s="1"/>
  <c r="H94" i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L250" i="1"/>
  <c r="L332" i="1"/>
  <c r="E113" i="2" s="1"/>
  <c r="L254" i="1"/>
  <c r="C25" i="10"/>
  <c r="L268" i="1"/>
  <c r="C142" i="2" s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D115" i="2"/>
  <c r="F115" i="2"/>
  <c r="G115" i="2"/>
  <c r="F128" i="2"/>
  <c r="G128" i="2"/>
  <c r="C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G461" i="1" s="1"/>
  <c r="H640" i="1" s="1"/>
  <c r="H452" i="1"/>
  <c r="F460" i="1"/>
  <c r="G460" i="1"/>
  <c r="H460" i="1"/>
  <c r="F461" i="1"/>
  <c r="H639" i="1" s="1"/>
  <c r="H470" i="1"/>
  <c r="I470" i="1"/>
  <c r="J470" i="1"/>
  <c r="J476" i="1" s="1"/>
  <c r="H626" i="1" s="1"/>
  <c r="G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9" i="1"/>
  <c r="H630" i="1"/>
  <c r="H631" i="1"/>
  <c r="G634" i="1"/>
  <c r="H635" i="1"/>
  <c r="H636" i="1"/>
  <c r="H637" i="1"/>
  <c r="H638" i="1"/>
  <c r="G639" i="1"/>
  <c r="G643" i="1"/>
  <c r="G644" i="1"/>
  <c r="G645" i="1"/>
  <c r="G651" i="1"/>
  <c r="G652" i="1"/>
  <c r="H652" i="1"/>
  <c r="G653" i="1"/>
  <c r="H653" i="1"/>
  <c r="G654" i="1"/>
  <c r="H654" i="1"/>
  <c r="H655" i="1"/>
  <c r="C26" i="10"/>
  <c r="L351" i="1"/>
  <c r="C70" i="2"/>
  <c r="D18" i="13"/>
  <c r="C18" i="13" s="1"/>
  <c r="C91" i="2"/>
  <c r="D91" i="2"/>
  <c r="D19" i="13"/>
  <c r="C19" i="13" s="1"/>
  <c r="L433" i="1"/>
  <c r="I169" i="1"/>
  <c r="H140" i="1"/>
  <c r="J636" i="1"/>
  <c r="H571" i="1" l="1"/>
  <c r="L565" i="1"/>
  <c r="I571" i="1"/>
  <c r="F571" i="1"/>
  <c r="L560" i="1"/>
  <c r="J651" i="1"/>
  <c r="K598" i="1"/>
  <c r="G647" i="1" s="1"/>
  <c r="J649" i="1"/>
  <c r="A13" i="12"/>
  <c r="L614" i="1"/>
  <c r="I552" i="1"/>
  <c r="I545" i="1"/>
  <c r="L539" i="1"/>
  <c r="L534" i="1"/>
  <c r="K551" i="1"/>
  <c r="K545" i="1"/>
  <c r="H545" i="1"/>
  <c r="J545" i="1"/>
  <c r="K550" i="1"/>
  <c r="J552" i="1"/>
  <c r="L544" i="1"/>
  <c r="K549" i="1"/>
  <c r="G545" i="1"/>
  <c r="G552" i="1"/>
  <c r="L529" i="1"/>
  <c r="F552" i="1"/>
  <c r="L524" i="1"/>
  <c r="E103" i="2"/>
  <c r="H169" i="1"/>
  <c r="J140" i="1"/>
  <c r="E78" i="2"/>
  <c r="E81" i="2" s="1"/>
  <c r="F81" i="2"/>
  <c r="J655" i="1"/>
  <c r="C29" i="10"/>
  <c r="E130" i="2"/>
  <c r="E114" i="2"/>
  <c r="H662" i="1"/>
  <c r="L328" i="1"/>
  <c r="E125" i="2"/>
  <c r="E122" i="2"/>
  <c r="E121" i="2"/>
  <c r="E119" i="2"/>
  <c r="E118" i="2"/>
  <c r="E112" i="2"/>
  <c r="E110" i="2"/>
  <c r="L309" i="1"/>
  <c r="H338" i="1"/>
  <c r="H352" i="1" s="1"/>
  <c r="G338" i="1"/>
  <c r="G352" i="1" s="1"/>
  <c r="F338" i="1"/>
  <c r="F352" i="1" s="1"/>
  <c r="K338" i="1"/>
  <c r="K352" i="1" s="1"/>
  <c r="J338" i="1"/>
  <c r="J352" i="1" s="1"/>
  <c r="L290" i="1"/>
  <c r="E109" i="2"/>
  <c r="L401" i="1"/>
  <c r="C139" i="2" s="1"/>
  <c r="H408" i="1"/>
  <c r="H644" i="1" s="1"/>
  <c r="G408" i="1"/>
  <c r="H645" i="1" s="1"/>
  <c r="F408" i="1"/>
  <c r="H643" i="1" s="1"/>
  <c r="J643" i="1" s="1"/>
  <c r="L393" i="1"/>
  <c r="C138" i="2" s="1"/>
  <c r="J644" i="1"/>
  <c r="J645" i="1"/>
  <c r="L427" i="1"/>
  <c r="L419" i="1"/>
  <c r="J634" i="1"/>
  <c r="L362" i="1"/>
  <c r="C27" i="10" s="1"/>
  <c r="D127" i="2"/>
  <c r="D128" i="2" s="1"/>
  <c r="D145" i="2" s="1"/>
  <c r="D29" i="13"/>
  <c r="C29" i="13" s="1"/>
  <c r="F661" i="1"/>
  <c r="G661" i="1"/>
  <c r="G192" i="1"/>
  <c r="D62" i="2"/>
  <c r="D63" i="2" s="1"/>
  <c r="E62" i="2"/>
  <c r="E63" i="2" s="1"/>
  <c r="H112" i="1"/>
  <c r="J112" i="1"/>
  <c r="J193" i="1" s="1"/>
  <c r="G646" i="1" s="1"/>
  <c r="C35" i="10"/>
  <c r="I112" i="1"/>
  <c r="F192" i="1"/>
  <c r="F169" i="1"/>
  <c r="C78" i="2"/>
  <c r="C81" i="2" s="1"/>
  <c r="C62" i="2"/>
  <c r="C63" i="2" s="1"/>
  <c r="C56" i="2"/>
  <c r="F112" i="1"/>
  <c r="G624" i="1"/>
  <c r="D50" i="2"/>
  <c r="D51" i="2" s="1"/>
  <c r="E31" i="2"/>
  <c r="I476" i="1"/>
  <c r="H625" i="1" s="1"/>
  <c r="J625" i="1" s="1"/>
  <c r="F18" i="2"/>
  <c r="I460" i="1"/>
  <c r="H461" i="1"/>
  <c r="H641" i="1" s="1"/>
  <c r="J641" i="1" s="1"/>
  <c r="J639" i="1"/>
  <c r="I452" i="1"/>
  <c r="J640" i="1"/>
  <c r="I446" i="1"/>
  <c r="G642" i="1" s="1"/>
  <c r="K503" i="1"/>
  <c r="G156" i="2"/>
  <c r="G161" i="2"/>
  <c r="G157" i="2"/>
  <c r="K500" i="1"/>
  <c r="J617" i="1"/>
  <c r="C18" i="2"/>
  <c r="C32" i="10"/>
  <c r="H25" i="13"/>
  <c r="K257" i="1"/>
  <c r="K271" i="1" s="1"/>
  <c r="D6" i="13"/>
  <c r="C6" i="13" s="1"/>
  <c r="C21" i="10"/>
  <c r="C16" i="10"/>
  <c r="I257" i="1"/>
  <c r="I271" i="1" s="1"/>
  <c r="D14" i="13"/>
  <c r="C14" i="13" s="1"/>
  <c r="F662" i="1"/>
  <c r="C18" i="10"/>
  <c r="L256" i="1"/>
  <c r="C13" i="10"/>
  <c r="C12" i="10"/>
  <c r="C10" i="10"/>
  <c r="H257" i="1"/>
  <c r="H271" i="1" s="1"/>
  <c r="E16" i="13"/>
  <c r="C16" i="13" s="1"/>
  <c r="C123" i="2"/>
  <c r="C114" i="2"/>
  <c r="L247" i="1"/>
  <c r="C111" i="2"/>
  <c r="D15" i="13"/>
  <c r="C15" i="13" s="1"/>
  <c r="G650" i="1"/>
  <c r="C124" i="2"/>
  <c r="H647" i="1"/>
  <c r="G662" i="1"/>
  <c r="I662" i="1" s="1"/>
  <c r="C125" i="2"/>
  <c r="C17" i="10"/>
  <c r="C122" i="2"/>
  <c r="C121" i="2"/>
  <c r="D12" i="13"/>
  <c r="C12" i="13" s="1"/>
  <c r="C120" i="2"/>
  <c r="E8" i="13"/>
  <c r="C8" i="13" s="1"/>
  <c r="L229" i="1"/>
  <c r="C15" i="10"/>
  <c r="C112" i="2"/>
  <c r="G257" i="1"/>
  <c r="G271" i="1" s="1"/>
  <c r="C11" i="10"/>
  <c r="F257" i="1"/>
  <c r="F271" i="1" s="1"/>
  <c r="C109" i="2"/>
  <c r="C20" i="10"/>
  <c r="C19" i="10"/>
  <c r="E13" i="13"/>
  <c r="C13" i="13" s="1"/>
  <c r="D7" i="13"/>
  <c r="C7" i="13" s="1"/>
  <c r="C119" i="2"/>
  <c r="C118" i="2"/>
  <c r="D5" i="13"/>
  <c r="C5" i="13" s="1"/>
  <c r="C110" i="2"/>
  <c r="L21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G169" i="1"/>
  <c r="G140" i="1"/>
  <c r="F140" i="1"/>
  <c r="G63" i="2"/>
  <c r="J618" i="1"/>
  <c r="G42" i="2"/>
  <c r="G50" i="2" s="1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L571" i="1" l="1"/>
  <c r="J647" i="1"/>
  <c r="K552" i="1"/>
  <c r="L545" i="1"/>
  <c r="H193" i="1"/>
  <c r="G629" i="1" s="1"/>
  <c r="J629" i="1" s="1"/>
  <c r="F104" i="2"/>
  <c r="E104" i="2"/>
  <c r="H660" i="1"/>
  <c r="H664" i="1" s="1"/>
  <c r="H667" i="1" s="1"/>
  <c r="E128" i="2"/>
  <c r="G660" i="1"/>
  <c r="G664" i="1" s="1"/>
  <c r="G667" i="1" s="1"/>
  <c r="L338" i="1"/>
  <c r="E115" i="2"/>
  <c r="H648" i="1"/>
  <c r="J648" i="1" s="1"/>
  <c r="D31" i="13"/>
  <c r="C31" i="13" s="1"/>
  <c r="L408" i="1"/>
  <c r="G637" i="1" s="1"/>
  <c r="J637" i="1" s="1"/>
  <c r="C141" i="2"/>
  <c r="C144" i="2" s="1"/>
  <c r="G104" i="2"/>
  <c r="L434" i="1"/>
  <c r="G638" i="1" s="1"/>
  <c r="J638" i="1" s="1"/>
  <c r="G635" i="1"/>
  <c r="J635" i="1" s="1"/>
  <c r="I661" i="1"/>
  <c r="C36" i="10"/>
  <c r="D104" i="2"/>
  <c r="C39" i="10"/>
  <c r="C104" i="2"/>
  <c r="F193" i="1"/>
  <c r="G627" i="1" s="1"/>
  <c r="F51" i="2"/>
  <c r="I461" i="1"/>
  <c r="H642" i="1" s="1"/>
  <c r="J642" i="1" s="1"/>
  <c r="G51" i="2"/>
  <c r="C25" i="13"/>
  <c r="H33" i="13"/>
  <c r="L257" i="1"/>
  <c r="L271" i="1" s="1"/>
  <c r="C128" i="2"/>
  <c r="C115" i="2"/>
  <c r="C28" i="10"/>
  <c r="D22" i="10" s="1"/>
  <c r="E33" i="13"/>
  <c r="D35" i="13" s="1"/>
  <c r="F660" i="1"/>
  <c r="F664" i="1" s="1"/>
  <c r="F672" i="1" s="1"/>
  <c r="C4" i="10" s="1"/>
  <c r="C51" i="2"/>
  <c r="G631" i="1"/>
  <c r="J631" i="1" s="1"/>
  <c r="G193" i="1"/>
  <c r="G626" i="1"/>
  <c r="J626" i="1" s="1"/>
  <c r="J52" i="1"/>
  <c r="H621" i="1" s="1"/>
  <c r="J621" i="1" s="1"/>
  <c r="C38" i="10"/>
  <c r="G632" i="1" l="1"/>
  <c r="F472" i="1"/>
  <c r="L352" i="1"/>
  <c r="G633" i="1" s="1"/>
  <c r="H472" i="1"/>
  <c r="G628" i="1"/>
  <c r="G468" i="1"/>
  <c r="H672" i="1"/>
  <c r="C6" i="10" s="1"/>
  <c r="E145" i="2"/>
  <c r="D33" i="13"/>
  <c r="D36" i="13" s="1"/>
  <c r="H646" i="1"/>
  <c r="J646" i="1" s="1"/>
  <c r="I660" i="1"/>
  <c r="I664" i="1" s="1"/>
  <c r="G672" i="1"/>
  <c r="C5" i="10" s="1"/>
  <c r="F468" i="1"/>
  <c r="F470" i="1" s="1"/>
  <c r="C145" i="2"/>
  <c r="D26" i="10"/>
  <c r="D12" i="10"/>
  <c r="D27" i="10"/>
  <c r="D15" i="10"/>
  <c r="D16" i="10"/>
  <c r="D10" i="10"/>
  <c r="D17" i="10"/>
  <c r="D24" i="10"/>
  <c r="D20" i="10"/>
  <c r="D25" i="10"/>
  <c r="D23" i="10"/>
  <c r="D18" i="10"/>
  <c r="C30" i="10"/>
  <c r="D19" i="10"/>
  <c r="D13" i="10"/>
  <c r="D11" i="10"/>
  <c r="D21" i="10"/>
  <c r="F667" i="1"/>
  <c r="C41" i="10"/>
  <c r="D38" i="10" s="1"/>
  <c r="F474" i="1" l="1"/>
  <c r="H632" i="1"/>
  <c r="J632" i="1" s="1"/>
  <c r="F476" i="1"/>
  <c r="H622" i="1" s="1"/>
  <c r="J622" i="1" s="1"/>
  <c r="H633" i="1"/>
  <c r="J633" i="1" s="1"/>
  <c r="H474" i="1"/>
  <c r="H476" i="1" s="1"/>
  <c r="H624" i="1" s="1"/>
  <c r="J624" i="1" s="1"/>
  <c r="H628" i="1"/>
  <c r="J628" i="1" s="1"/>
  <c r="G470" i="1"/>
  <c r="G476" i="1" s="1"/>
  <c r="H623" i="1" s="1"/>
  <c r="J623" i="1" s="1"/>
  <c r="I672" i="1"/>
  <c r="C7" i="10" s="1"/>
  <c r="I667" i="1"/>
  <c r="H627" i="1"/>
  <c r="J627" i="1" s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<sst xmlns="http://schemas.openxmlformats.org/spreadsheetml/2006/main" count="3964" uniqueCount="922">
  <si>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</si>
  <si>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</si>
  <si>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</si>
  <si>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</si>
  <si>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</si>
  <si>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</si>
  <si>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</si>
  <si>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</si>
  <si>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</si>
  <si>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</si>
  <si>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</si>
  <si>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</si>
  <si>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</si>
  <si>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</si>
  <si>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</si>
  <si>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</si>
  <si>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</si>
  <si>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</si>
  <si>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</si>
  <si>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</si>
  <si>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</si>
  <si>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</si>
  <si>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</si>
  <si>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</si>
  <si>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</si>
  <si>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</si>
  <si>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</si>
  <si>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</si>
  <si>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</si>
  <si>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</si>
  <si>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</si>
  <si>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</si>
  <si>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</si>
  <si>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</si>
  <si>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</si>
  <si>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</si>
  <si>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</si>
  <si>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</si>
  <si>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</si>
  <si>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</si>
  <si>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</si>
  <si>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</si>
  <si>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</si>
  <si>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</si>
  <si>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</si>
  <si>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</si>
  <si>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</si>
  <si>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</si>
  <si>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</si>
  <si>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</si>
  <si>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</si>
  <si>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</si>
  <si>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</si>
  <si>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</si>
  <si>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</si>
  <si>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</si>
  <si>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</si>
  <si>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</si>
  <si>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</si>
  <si>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</si>
  <si>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</si>
  <si>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</si>
  <si>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</si>
  <si>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</si>
  <si>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</si>
  <si>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</si>
  <si>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</si>
  <si>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</si>
  <si>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</si>
  <si>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</si>
  <si>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</si>
  <si>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</si>
  <si>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</si>
  <si>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</si>
  <si>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</si>
  <si>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</si>
  <si>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</si>
  <si>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</si>
  <si>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</si>
  <si>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</si>
  <si>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</si>
  <si>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</si>
  <si>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</si>
  <si>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</si>
  <si>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</si>
  <si>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</si>
  <si>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</si>
  <si>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</si>
  <si>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</si>
  <si>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</si>
  <si>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</si>
  <si>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</si>
  <si>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</si>
  <si>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</si>
  <si>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</si>
  <si>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</si>
  <si>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</si>
  <si>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</si>
  <si>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</si>
  <si>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</si>
  <si>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</si>
  <si>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</si>
  <si>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</si>
  <si>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</si>
  <si>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</si>
  <si>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</si>
  <si>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</si>
  <si>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</si>
  <si>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</si>
  <si>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</si>
  <si>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</si>
  <si>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</si>
  <si>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</si>
  <si>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</si>
  <si>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</si>
  <si>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</si>
  <si>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</si>
  <si>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</si>
  <si>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</si>
  <si>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</si>
  <si>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</si>
  <si>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</si>
  <si>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</si>
  <si>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</si>
  <si>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</si>
  <si>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</si>
  <si>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</si>
  <si>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</si>
  <si>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</si>
  <si>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</si>
  <si>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</si>
  <si>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</si>
  <si>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</si>
  <si>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</si>
  <si>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</si>
  <si>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</si>
  <si>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</si>
  <si>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</si>
  <si>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</si>
  <si>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</si>
  <si>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</si>
  <si>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</si>
  <si>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</si>
  <si>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</si>
  <si>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</si>
  <si>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</si>
  <si>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</si>
  <si>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</si>
  <si>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</si>
  <si>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</si>
  <si>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</si>
  <si>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</si>
  <si>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</si>
  <si>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</si>
  <si>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</si>
  <si>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</si>
  <si>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</si>
  <si>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</si>
  <si>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</si>
  <si>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</si>
  <si>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</si>
  <si>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</si>
  <si>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</si>
  <si>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</si>
  <si>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</si>
  <si>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</si>
  <si>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</si>
  <si>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</si>
  <si>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</si>
  <si>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</si>
  <si>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</si>
  <si>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</si>
  <si>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</si>
  <si>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</si>
  <si>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</si>
  <si>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</si>
  <si>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</si>
  <si>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</si>
  <si>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</si>
  <si>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</si>
  <si>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</si>
  <si>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</si>
  <si>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</si>
  <si>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</si>
  <si>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</si>
  <si>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</si>
  <si>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</si>
  <si>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</si>
  <si>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</si>
  <si>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</si>
  <si>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</si>
  <si>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</si>
  <si>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</si>
  <si>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</si>
  <si>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</si>
  <si>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</si>
  <si>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</si>
  <si>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</si>
  <si>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</si>
  <si>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</si>
  <si>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</si>
  <si>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</si>
  <si>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</si>
  <si>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</si>
  <si>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</si>
  <si>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</si>
  <si>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</si>
  <si>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</si>
  <si>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</si>
  <si>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</si>
  <si>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</si>
  <si>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</si>
  <si>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</si>
  <si>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</si>
  <si>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</si>
  <si>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</si>
  <si>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</si>
  <si>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</si>
  <si>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</si>
  <si>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</si>
  <si>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</si>
  <si>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</si>
  <si>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</si>
  <si>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</si>
  <si>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</si>
  <si>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</si>
  <si>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</si>
  <si>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</si>
  <si>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</si>
  <si>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</si>
  <si>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</si>
  <si>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</si>
  <si>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</si>
  <si>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</si>
  <si>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</si>
  <si>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</si>
  <si>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</si>
  <si>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</si>
  <si>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</si>
  <si>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</si>
  <si>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</si>
  <si>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</si>
  <si>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</si>
  <si>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</si>
  <si>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</si>
  <si>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</si>
  <si>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</si>
  <si>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</si>
  <si>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</si>
  <si>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</si>
  <si>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</si>
  <si>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</si>
  <si>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</si>
  <si>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</si>
  <si>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</si>
  <si>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</si>
  <si>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</si>
  <si>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</si>
  <si>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</si>
  <si>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</si>
  <si>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</si>
  <si>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</si>
  <si>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</si>
  <si>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</si>
  <si>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</si>
  <si>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</si>
  <si>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</si>
  <si>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</si>
  <si>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</si>
  <si>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</si>
  <si>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</si>
  <si>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</si>
  <si>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</si>
  <si>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</si>
  <si>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</si>
  <si>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</si>
  <si>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</si>
  <si>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</si>
  <si>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</si>
  <si>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</si>
  <si>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</si>
  <si>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</si>
  <si>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</si>
  <si>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</si>
  <si>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</si>
  <si>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</si>
  <si>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</si>
  <si>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</si>
  <si>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</si>
  <si>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</si>
  <si>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</si>
  <si>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</si>
  <si>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</si>
  <si>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</si>
  <si>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</si>
  <si>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</si>
  <si>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</si>
  <si>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</si>
  <si>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</si>
  <si>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</si>
  <si>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</si>
  <si>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</si>
  <si>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</si>
  <si>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</si>
  <si>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</si>
  <si>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</si>
  <si>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</si>
  <si>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</si>
  <si>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</si>
  <si>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</si>
  <si>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</si>
  <si>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</si>
  <si>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</si>
  <si>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</si>
  <si>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</si>
  <si>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</si>
  <si>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</si>
  <si>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</si>
  <si>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</si>
  <si>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</si>
  <si>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</si>
  <si>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</si>
  <si>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</si>
  <si>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</si>
  <si>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</si>
  <si>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</si>
  <si>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</si>
  <si>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</si>
  <si>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</si>
  <si>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</si>
  <si>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</si>
  <si>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</si>
  <si>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</si>
  <si>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</si>
  <si>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</si>
  <si>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</si>
  <si>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</si>
  <si>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</si>
  <si>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</si>
  <si>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</si>
  <si>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</si>
  <si>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</si>
  <si>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</si>
  <si>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</si>
  <si>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</si>
  <si>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</si>
  <si>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</si>
  <si>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</si>
  <si>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</si>
  <si>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</si>
  <si>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</si>
  <si>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</si>
  <si>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</si>
  <si>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</si>
  <si>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</si>
  <si>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</si>
  <si>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</si>
  <si>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</si>
  <si>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</si>
  <si>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</si>
  <si>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</si>
  <si>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</si>
  <si>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</si>
  <si>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</si>
  <si>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</si>
  <si>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</si>
  <si>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</si>
  <si>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</si>
  <si>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</si>
  <si>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</si>
  <si>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</si>
  <si>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</si>
  <si>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</si>
  <si>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</si>
  <si>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</si>
  <si>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</si>
  <si>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</si>
  <si>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</si>
  <si>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</si>
  <si>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</si>
  <si>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</si>
  <si>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</si>
  <si>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</si>
  <si>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</si>
  <si>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</si>
  <si>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</si>
  <si>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</si>
  <si>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</si>
  <si>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</si>
  <si>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</si>
  <si>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</si>
  <si>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</si>
  <si>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</si>
  <si>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</si>
  <si>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</si>
  <si>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</si>
  <si>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</si>
  <si>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</si>
  <si>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</si>
  <si>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</si>
  <si>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</si>
  <si>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</si>
  <si>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</si>
  <si>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</si>
  <si>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</si>
  <si>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</si>
  <si>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</si>
  <si>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</si>
  <si>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</si>
  <si>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</si>
  <si>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</si>
  <si>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</si>
  <si>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</si>
  <si>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</si>
  <si>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</si>
  <si>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</si>
  <si>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</si>
  <si>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</si>
  <si>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</si>
  <si>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</si>
  <si>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</si>
  <si>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</si>
  <si>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</si>
  <si>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</si>
  <si>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</si>
  <si>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</si>
  <si>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</si>
  <si>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</si>
  <si>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</si>
  <si>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</si>
  <si>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</si>
  <si>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</si>
  <si>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</si>
  <si>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</si>
  <si>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</si>
  <si>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</si>
  <si>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</si>
  <si>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</si>
  <si>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</si>
  <si>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</si>
  <si>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</si>
  <si>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</si>
  <si>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</si>
  <si>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</si>
  <si>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</si>
  <si>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</si>
  <si>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</si>
  <si>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</si>
  <si>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</si>
  <si>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</si>
  <si>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</si>
  <si>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</si>
  <si>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</si>
  <si>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</si>
  <si>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</si>
  <si>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</si>
  <si>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</si>
  <si>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</si>
  <si>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</si>
  <si>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</si>
  <si>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</si>
  <si>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</si>
  <si>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</si>
  <si>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</si>
  <si>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</si>
  <si>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</si>
  <si>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</si>
  <si>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</si>
  <si>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</si>
  <si>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</si>
  <si>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</si>
  <si>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</si>
  <si>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</si>
  <si>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</si>
  <si>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</si>
  <si>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</si>
  <si>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</si>
  <si>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</si>
  <si>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</si>
  <si>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</si>
  <si>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</si>
  <si>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</si>
  <si>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</si>
  <si>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</si>
  <si>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</si>
  <si>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</si>
  <si>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</si>
  <si>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</si>
  <si>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</si>
  <si>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</si>
  <si>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</si>
  <si>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</si>
  <si>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</si>
  <si>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</si>
  <si>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</si>
  <si>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</si>
  <si>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</si>
  <si>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</si>
  <si>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</si>
  <si>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</si>
  <si>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</si>
  <si>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</si>
  <si>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</si>
  <si>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</si>
  <si>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</si>
  <si>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</si>
  <si>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</si>
  <si>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</si>
  <si>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</si>
  <si>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</si>
  <si>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</si>
  <si>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</si>
  <si>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</si>
  <si>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</si>
  <si>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</si>
  <si>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</si>
  <si>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</si>
  <si>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</si>
  <si>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</si>
  <si>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</si>
  <si>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</si>
  <si>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</si>
  <si>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</si>
  <si>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</si>
  <si>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</si>
  <si>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</si>
  <si>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</si>
  <si>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</si>
  <si>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</si>
  <si>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</si>
  <si>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</si>
  <si>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</si>
  <si>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</si>
  <si>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</si>
  <si>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</si>
  <si>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</si>
  <si>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</si>
  <si>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</si>
  <si>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</si>
  <si>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</si>
  <si>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</si>
  <si>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</si>
  <si>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</si>
  <si>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</si>
  <si>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</si>
  <si>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</si>
  <si>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</si>
  <si>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</si>
  <si>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</si>
  <si>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</si>
  <si>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</si>
  <si>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</si>
  <si>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</si>
  <si>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</si>
  <si>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</si>
  <si>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</si>
  <si>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</si>
  <si>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</si>
  <si>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</si>
  <si>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</si>
  <si>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</si>
  <si>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</si>
  <si>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</si>
  <si>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</si>
  <si>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</si>
  <si>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</si>
  <si>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</si>
  <si>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</si>
  <si>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</si>
  <si>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</si>
  <si>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</si>
  <si>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</si>
  <si>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</si>
  <si>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</si>
  <si>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</si>
  <si>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</si>
  <si>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</si>
  <si>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</si>
  <si>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</si>
  <si>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</si>
  <si>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</si>
  <si>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</si>
  <si>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</si>
  <si>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</si>
  <si>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</si>
  <si>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</si>
  <si>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</si>
  <si>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</si>
  <si>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</si>
  <si>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</si>
  <si>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</si>
  <si>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</si>
  <si>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</si>
  <si>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</si>
  <si>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</si>
  <si>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</si>
  <si>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</si>
  <si>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</si>
  <si>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</si>
  <si>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</si>
  <si>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</si>
  <si>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</si>
  <si>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</si>
  <si>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</si>
  <si>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</si>
  <si>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</si>
  <si>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</si>
  <si>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</si>
  <si>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</si>
  <si>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</si>
  <si>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</si>
  <si>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</si>
  <si>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</si>
  <si>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</si>
  <si>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</si>
  <si>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</si>
  <si>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</si>
  <si>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</si>
  <si>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</si>
  <si>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</si>
  <si>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</si>
  <si>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</si>
  <si>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</si>
  <si>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</si>
  <si>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</si>
  <si>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</si>
  <si>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</si>
  <si>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</si>
  <si>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</si>
  <si>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</si>
  <si>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</si>
  <si>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</si>
  <si>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</si>
  <si>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</si>
  <si>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</si>
  <si>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</si>
  <si>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</si>
  <si>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</si>
  <si>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</si>
  <si>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</si>
  <si>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</si>
  <si>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</si>
  <si>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</si>
  <si>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</si>
  <si>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</si>
  <si>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</si>
  <si>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</si>
  <si>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</si>
  <si>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</si>
  <si>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</si>
  <si>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</si>
  <si>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</si>
  <si>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</si>
  <si>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</si>
  <si>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</si>
  <si>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</si>
  <si>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</si>
  <si>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</si>
  <si>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</si>
  <si>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</si>
  <si>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</si>
  <si>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</si>
  <si>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</si>
  <si>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</si>
  <si>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</si>
  <si>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</si>
  <si>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</si>
  <si>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</si>
  <si>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</si>
  <si>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</si>
  <si>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</si>
  <si>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</si>
  <si>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</si>
  <si>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</si>
  <si>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</si>
  <si>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</si>
  <si>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</si>
  <si>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</si>
  <si>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</si>
  <si>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</si>
  <si>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</si>
  <si>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</si>
  <si>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</si>
  <si>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</si>
  <si>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</si>
  <si>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</si>
  <si>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</si>
  <si>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</si>
  <si>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</si>
  <si>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</si>
  <si>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</si>
  <si>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</si>
  <si>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</si>
  <si>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</si>
  <si>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</si>
  <si>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</si>
  <si>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</si>
  <si>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</si>
  <si>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</si>
  <si>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</si>
  <si>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</si>
  <si>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</si>
  <si>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</si>
  <si>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</si>
  <si>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</si>
  <si>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</si>
  <si>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</si>
  <si>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</si>
  <si>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</si>
  <si>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</si>
  <si>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</si>
  <si>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</si>
  <si>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</si>
  <si>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</si>
  <si>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</si>
  <si>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</si>
  <si>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</si>
  <si>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</si>
  <si>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</si>
  <si>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</si>
  <si>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</si>
  <si>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</si>
  <si>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</si>
  <si>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</si>
  <si>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</si>
  <si>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</si>
  <si>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</si>
  <si>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</si>
  <si>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</si>
  <si>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</si>
  <si>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</si>
  <si>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</si>
  <si>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</si>
  <si>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</si>
  <si>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</si>
  <si>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</si>
  <si>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</si>
  <si>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</si>
  <si>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</si>
  <si>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</si>
  <si>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</si>
  <si>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</si>
  <si>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</si>
  <si>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</si>
  <si>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</si>
  <si>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</si>
  <si>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</si>
  <si>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</si>
  <si>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</si>
  <si>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</si>
  <si>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</si>
  <si>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</si>
  <si>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</si>
  <si>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</si>
  <si>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</si>
  <si>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</si>
  <si>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</si>
  <si>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</si>
  <si>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</si>
  <si>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</si>
  <si>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</si>
  <si>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</si>
  <si>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</si>
  <si>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</si>
  <si>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</si>
  <si>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</si>
  <si>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</si>
  <si>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</si>
  <si>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</si>
  <si>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</si>
  <si>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</si>
  <si>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</si>
  <si>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</si>
  <si>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</si>
  <si>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</si>
  <si>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</si>
  <si>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</si>
  <si>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</si>
  <si>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</si>
  <si>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</si>
  <si>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</si>
  <si>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</si>
  <si>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</si>
  <si>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</si>
  <si>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</si>
  <si>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</si>
  <si>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</si>
  <si>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</si>
  <si>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</si>
  <si>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</si>
  <si>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</si>
  <si>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</si>
  <si>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</si>
  <si>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</si>
  <si>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</si>
  <si>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</si>
  <si>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</si>
  <si>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</si>
  <si>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</si>
  <si>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</si>
  <si>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</si>
  <si>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</si>
  <si>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</si>
  <si>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</si>
  <si>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</si>
  <si>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</si>
  <si>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</si>
  <si>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</si>
  <si>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</si>
  <si>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</si>
  <si>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</si>
  <si>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</si>
  <si>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</si>
  <si>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</si>
  <si>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</si>
  <si>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</si>
  <si>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</si>
  <si>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</si>
  <si>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</si>
  <si>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</si>
  <si>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</si>
  <si>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</si>
  <si>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</si>
  <si>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</si>
  <si>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</si>
  <si>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</si>
  <si>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</si>
  <si>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</si>
  <si>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</si>
  <si>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</si>
  <si>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</si>
  <si>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</si>
  <si>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</si>
  <si>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</si>
  <si>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</si>
  <si>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</si>
  <si>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</si>
  <si>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</si>
  <si>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</si>
  <si>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</si>
  <si>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</si>
  <si>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</si>
  <si>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</si>
  <si>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</si>
  <si>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</si>
  <si>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</si>
  <si>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</si>
  <si>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</si>
  <si>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</si>
  <si>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</si>
  <si>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</si>
  <si>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</si>
  <si>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</si>
  <si>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</si>
  <si>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</si>
  <si>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</si>
  <si>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</si>
  <si>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</si>
  <si>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</si>
  <si>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</si>
  <si>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</si>
  <si>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</si>
  <si>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</si>
  <si>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</si>
  <si>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</si>
  <si>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</si>
  <si>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</si>
  <si>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</si>
  <si>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</si>
  <si>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</si>
  <si>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</si>
  <si>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</si>
  <si>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</si>
  <si>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</si>
  <si>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</si>
  <si>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</si>
  <si>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</si>
  <si>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</si>
  <si>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</si>
  <si>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</si>
  <si>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</si>
  <si>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</si>
  <si>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</si>
  <si>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</si>
  <si>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</si>
  <si>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</si>
  <si>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</si>
  <si>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</si>
  <si>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</si>
  <si>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</si>
  <si>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</si>
  <si>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</si>
  <si>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</si>
  <si>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</si>
  <si>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</si>
  <si>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</si>
  <si>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</si>
  <si>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</si>
  <si>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</si>
  <si>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</si>
  <si>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</si>
  <si>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</si>
  <si>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</si>
  <si>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</si>
  <si>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</si>
  <si>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</si>
  <si>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</si>
  <si>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</si>
  <si>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</si>
  <si>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</si>
  <si>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</si>
  <si>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Bedford School District</t>
  </si>
  <si>
    <t>8/08</t>
  </si>
  <si>
    <t>8/15</t>
  </si>
  <si>
    <t>7/05</t>
  </si>
  <si>
    <t>7/29</t>
  </si>
  <si>
    <t>6/06</t>
  </si>
  <si>
    <t>7/26</t>
  </si>
  <si>
    <t>8/07</t>
  </si>
  <si>
    <t>8/17</t>
  </si>
  <si>
    <t>1/14</t>
  </si>
  <si>
    <t>8/18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</si>
</sst>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41</v>
      </c>
      <c r="C2" s="21">
        <v>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6017398.7999999998</v>
      </c>
      <c r="G9" s="18">
        <v>497</v>
      </c>
      <c r="H9" s="18">
        <v>0</v>
      </c>
      <c r="I9" s="18">
        <v>0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315183.13</v>
      </c>
      <c r="H12" s="18">
        <v>0</v>
      </c>
      <c r="I12" s="18">
        <v>257767.49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59224.78</v>
      </c>
      <c r="G13" s="18">
        <v>14944.72</v>
      </c>
      <c r="H13" s="18">
        <v>132795.76</v>
      </c>
      <c r="I13" s="18">
        <v>0</v>
      </c>
      <c r="J13" s="67">
        <f>SUM(I442)</f>
        <v>481647.79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79411.38</v>
      </c>
      <c r="G14" s="18">
        <v>70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38790.9</v>
      </c>
      <c r="G17" s="18">
        <v>1895.66</v>
      </c>
      <c r="H17" s="18">
        <v>768.36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6194825.8600000003</v>
      </c>
      <c r="G19" s="41">
        <f>SUM(G9:G18)</f>
        <v>332590.50999999995</v>
      </c>
      <c r="H19" s="41">
        <f>SUM(H9:H18)</f>
        <v>133564.12</v>
      </c>
      <c r="I19" s="41">
        <f>SUM(I9:I18)</f>
        <v>257767.49</v>
      </c>
      <c r="J19" s="41">
        <f>SUM(J9:J18)</f>
        <v>481647.79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490423.59</v>
      </c>
      <c r="G22" s="18">
        <v>0</v>
      </c>
      <c r="H22" s="18">
        <v>82527.03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39591.75</v>
      </c>
      <c r="G24" s="18">
        <v>1657.25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2632381.6</v>
      </c>
      <c r="G28" s="18">
        <v>13172.07</v>
      </c>
      <c r="H28" s="18">
        <v>42391.64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1767.07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52056.94</v>
      </c>
      <c r="G30" s="18">
        <v>58067.54</v>
      </c>
      <c r="H30" s="18">
        <v>8645.4500000000007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3216220.95</v>
      </c>
      <c r="G32" s="41">
        <f>SUM(G22:G31)</f>
        <v>72896.86</v>
      </c>
      <c r="H32" s="41">
        <f>SUM(H22:H31)</f>
        <v>133564.12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38790.9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259693.65</v>
      </c>
      <c r="H48" s="18">
        <v>0</v>
      </c>
      <c r="I48" s="18">
        <v>257767.49</v>
      </c>
      <c r="J48" s="13">
        <f>SUM(I459)</f>
        <v>481647.79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66980.160000000003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2872833.85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2978604.91</v>
      </c>
      <c r="G51" s="41">
        <f>SUM(G35:G50)</f>
        <v>259693.65</v>
      </c>
      <c r="H51" s="41">
        <f>SUM(H35:H50)</f>
        <v>0</v>
      </c>
      <c r="I51" s="41">
        <f>SUM(I35:I50)</f>
        <v>257767.49</v>
      </c>
      <c r="J51" s="41">
        <f>SUM(J35:J50)</f>
        <v>481647.79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6194825.8600000003</v>
      </c>
      <c r="G52" s="41">
        <f>G51+G32</f>
        <v>332590.51</v>
      </c>
      <c r="H52" s="41">
        <f>H51+H32</f>
        <v>133564.12</v>
      </c>
      <c r="I52" s="41">
        <f>I51+I32</f>
        <v>257767.49</v>
      </c>
      <c r="J52" s="41">
        <f>J51+J32</f>
        <v>481647.79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42625630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300000</v>
      </c>
      <c r="G59" s="18"/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42925630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129864.71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56525.56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1950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14814.02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48868.56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252022.85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364.53</v>
      </c>
      <c r="G96" s="18">
        <v>0</v>
      </c>
      <c r="H96" s="18">
        <v>0</v>
      </c>
      <c r="I96" s="18">
        <v>0</v>
      </c>
      <c r="J96" s="18">
        <v>1438.24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1412965.07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6409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95492.5</v>
      </c>
      <c r="G101" s="18">
        <v>0</v>
      </c>
      <c r="H101" s="18">
        <v>0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10923.75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332116.21000000002</v>
      </c>
      <c r="G110" s="18">
        <v>0</v>
      </c>
      <c r="H110" s="18">
        <v>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434382.24</v>
      </c>
      <c r="G111" s="41">
        <f>SUM(G96:G110)</f>
        <v>1412965.07</v>
      </c>
      <c r="H111" s="41">
        <f>SUM(H96:H110)</f>
        <v>10923.75</v>
      </c>
      <c r="I111" s="41">
        <f>SUM(I96:I110)</f>
        <v>0</v>
      </c>
      <c r="J111" s="41">
        <f>SUM(J96:J110)</f>
        <v>1438.24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43612035.090000004</v>
      </c>
      <c r="G112" s="41">
        <f>G60+G111</f>
        <v>1412965.07</v>
      </c>
      <c r="H112" s="41">
        <f>H60+H79+H94+H111</f>
        <v>10923.75</v>
      </c>
      <c r="I112" s="41">
        <f>I60+I111</f>
        <v>0</v>
      </c>
      <c r="J112" s="41">
        <f>J60+J111</f>
        <v>1438.24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3738676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8130973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25000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11869649</v>
      </c>
      <c r="G121" s="41">
        <f>SUM(G117:G120)</f>
        <v>0</v>
      </c>
      <c r="H121" s="41">
        <f>SUM(H117:H120)</f>
        <v>25000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982453.66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582031.53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12026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20495.86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1576511.19</v>
      </c>
      <c r="G136" s="41">
        <f>SUM(G123:G135)</f>
        <v>20495.86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/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13446160.189999999</v>
      </c>
      <c r="G140" s="41">
        <f>G121+SUM(G136:G137)</f>
        <v>20495.86</v>
      </c>
      <c r="H140" s="41">
        <f>H121+SUM(H136:H139)</f>
        <v>25000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128039.29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55371.38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5964.63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213970.69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762088.85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442587.91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442587.91</v>
      </c>
      <c r="G162" s="41">
        <f>SUM(G150:G161)</f>
        <v>213970.69</v>
      </c>
      <c r="H162" s="41">
        <f>SUM(H150:H161)</f>
        <v>951464.14999999991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570.54999999999995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442587.91</v>
      </c>
      <c r="G169" s="41">
        <f>G147+G162+SUM(G163:G168)</f>
        <v>213970.69</v>
      </c>
      <c r="H169" s="41">
        <f>H147+H162+SUM(H163:H168)</f>
        <v>952034.7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3088.42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3088.42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350000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350000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350000</v>
      </c>
      <c r="G192" s="41">
        <f>G183+SUM(G188:G191)</f>
        <v>3088.42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57850783.189999998</v>
      </c>
      <c r="G193" s="47">
        <f>G112+G140+G169+G192</f>
        <v>1650520.04</v>
      </c>
      <c r="H193" s="47">
        <f>H112+H140+H169+H192</f>
        <v>987958.45</v>
      </c>
      <c r="I193" s="47">
        <f>I112+I140+I169+I192</f>
        <v>0</v>
      </c>
      <c r="J193" s="47">
        <f>J112+J140+J192</f>
        <v>1438.24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7862635.4800000004</v>
      </c>
      <c r="G197" s="18">
        <v>3916235.95</v>
      </c>
      <c r="H197" s="18">
        <v>62879.17</v>
      </c>
      <c r="I197" s="18">
        <v>344540.14</v>
      </c>
      <c r="J197" s="18">
        <v>13963.86</v>
      </c>
      <c r="K197" s="18">
        <v>0</v>
      </c>
      <c r="L197" s="19">
        <f>SUM(F197:K197)</f>
        <v>12200254.6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3102495.85</v>
      </c>
      <c r="G198" s="18">
        <v>1545296.84</v>
      </c>
      <c r="H198" s="18">
        <v>224587.18</v>
      </c>
      <c r="I198" s="18">
        <v>29793.599999999999</v>
      </c>
      <c r="J198" s="18">
        <v>0</v>
      </c>
      <c r="K198" s="18">
        <v>0</v>
      </c>
      <c r="L198" s="19">
        <f>SUM(F198:K198)</f>
        <v>4902173.47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47435.27</v>
      </c>
      <c r="G200" s="18">
        <v>23626.65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71061.919999999998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892612.66</v>
      </c>
      <c r="G202" s="18">
        <v>444594.15</v>
      </c>
      <c r="H202" s="18">
        <v>1041834.9</v>
      </c>
      <c r="I202" s="18">
        <v>22087.45</v>
      </c>
      <c r="J202" s="18">
        <v>0</v>
      </c>
      <c r="K202" s="18">
        <v>29418.57</v>
      </c>
      <c r="L202" s="19">
        <f t="shared" ref="L202:L208" si="0">SUM(F202:K202)</f>
        <v>2430547.73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290738.77</v>
      </c>
      <c r="G203" s="18">
        <v>144811.70000000001</v>
      </c>
      <c r="H203" s="18">
        <v>30368.36</v>
      </c>
      <c r="I203" s="18">
        <v>53778.23</v>
      </c>
      <c r="J203" s="18">
        <v>91087.93</v>
      </c>
      <c r="K203" s="18">
        <v>0</v>
      </c>
      <c r="L203" s="19">
        <f t="shared" si="0"/>
        <v>610784.99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355399.31</v>
      </c>
      <c r="G204" s="18">
        <v>177017.93</v>
      </c>
      <c r="H204" s="18">
        <v>30706.32</v>
      </c>
      <c r="I204" s="18">
        <v>10933.01</v>
      </c>
      <c r="J204" s="18">
        <v>12522.55</v>
      </c>
      <c r="K204" s="18">
        <v>10090.709999999999</v>
      </c>
      <c r="L204" s="19">
        <f t="shared" si="0"/>
        <v>596669.82999999996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1125253.32</v>
      </c>
      <c r="G205" s="18">
        <v>560468.23</v>
      </c>
      <c r="H205" s="18">
        <v>18514.62</v>
      </c>
      <c r="I205" s="18">
        <v>17761.11</v>
      </c>
      <c r="J205" s="18">
        <v>578.25</v>
      </c>
      <c r="K205" s="18">
        <v>9683.5</v>
      </c>
      <c r="L205" s="19">
        <f t="shared" si="0"/>
        <v>1732259.0300000003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111882.83</v>
      </c>
      <c r="G206" s="18">
        <v>55726.81</v>
      </c>
      <c r="H206" s="18">
        <v>84820.65</v>
      </c>
      <c r="I206" s="18">
        <v>0</v>
      </c>
      <c r="J206" s="18">
        <v>0</v>
      </c>
      <c r="K206" s="18">
        <v>0</v>
      </c>
      <c r="L206" s="19">
        <f t="shared" si="0"/>
        <v>252430.29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705803.31</v>
      </c>
      <c r="G207" s="18">
        <v>351547.8</v>
      </c>
      <c r="H207" s="18">
        <v>1611136.55</v>
      </c>
      <c r="I207" s="18">
        <v>617589.4</v>
      </c>
      <c r="J207" s="18">
        <v>7444.38</v>
      </c>
      <c r="K207" s="18">
        <v>673.25</v>
      </c>
      <c r="L207" s="19">
        <f t="shared" si="0"/>
        <v>3294194.69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18903.5</v>
      </c>
      <c r="G208" s="18">
        <v>9415.49</v>
      </c>
      <c r="H208" s="18">
        <v>1219624.1200000001</v>
      </c>
      <c r="I208" s="18">
        <v>0</v>
      </c>
      <c r="J208" s="18">
        <v>0</v>
      </c>
      <c r="K208" s="18">
        <v>0</v>
      </c>
      <c r="L208" s="19">
        <f t="shared" si="0"/>
        <v>1247943.1100000001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21430.7</v>
      </c>
      <c r="I209" s="18">
        <v>0</v>
      </c>
      <c r="J209" s="18">
        <v>0</v>
      </c>
      <c r="K209" s="18">
        <v>0</v>
      </c>
      <c r="L209" s="19">
        <f>SUM(F209:K209)</f>
        <v>21430.7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14513160.300000001</v>
      </c>
      <c r="G211" s="41">
        <f t="shared" si="1"/>
        <v>7228741.5500000007</v>
      </c>
      <c r="H211" s="41">
        <f t="shared" si="1"/>
        <v>4345902.57</v>
      </c>
      <c r="I211" s="41">
        <f t="shared" si="1"/>
        <v>1096482.94</v>
      </c>
      <c r="J211" s="41">
        <f t="shared" si="1"/>
        <v>125596.97</v>
      </c>
      <c r="K211" s="41">
        <f t="shared" si="1"/>
        <v>49866.03</v>
      </c>
      <c r="L211" s="41">
        <f t="shared" si="1"/>
        <v>27359750.359999999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3134968.87</v>
      </c>
      <c r="G215" s="18">
        <v>1561471.06</v>
      </c>
      <c r="H215" s="18">
        <v>25607.25</v>
      </c>
      <c r="I215" s="18">
        <v>142815.35999999999</v>
      </c>
      <c r="J215" s="18">
        <v>1221</v>
      </c>
      <c r="K215" s="18">
        <v>0</v>
      </c>
      <c r="L215" s="19">
        <f>SUM(F215:K215)</f>
        <v>4866083.54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841083.86</v>
      </c>
      <c r="G216" s="18">
        <v>418928.59</v>
      </c>
      <c r="H216" s="18">
        <v>197860.28</v>
      </c>
      <c r="I216" s="18">
        <v>5505.41</v>
      </c>
      <c r="J216" s="18">
        <v>0</v>
      </c>
      <c r="K216" s="18">
        <v>0</v>
      </c>
      <c r="L216" s="19">
        <f>SUM(F216:K216)</f>
        <v>1463378.14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104407.86</v>
      </c>
      <c r="G218" s="18">
        <v>52003.66</v>
      </c>
      <c r="H218" s="18">
        <v>11604.04</v>
      </c>
      <c r="I218" s="18">
        <v>10549.87</v>
      </c>
      <c r="J218" s="18">
        <v>0</v>
      </c>
      <c r="K218" s="18">
        <v>850.71</v>
      </c>
      <c r="L218" s="19">
        <f>SUM(F218:K218)</f>
        <v>179416.14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289553.21000000002</v>
      </c>
      <c r="G220" s="18">
        <v>144221.20000000001</v>
      </c>
      <c r="H220" s="18">
        <v>179677.94</v>
      </c>
      <c r="I220" s="18">
        <v>4262.5200000000004</v>
      </c>
      <c r="J220" s="18">
        <v>0</v>
      </c>
      <c r="K220" s="18">
        <v>0</v>
      </c>
      <c r="L220" s="19">
        <f t="shared" ref="L220:L226" si="2">SUM(F220:K220)</f>
        <v>617714.87000000011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104665.96</v>
      </c>
      <c r="G221" s="18">
        <v>52132.21</v>
      </c>
      <c r="H221" s="18">
        <v>11019.46</v>
      </c>
      <c r="I221" s="18">
        <v>19514.47</v>
      </c>
      <c r="J221" s="18">
        <v>33008.300000000003</v>
      </c>
      <c r="K221" s="18">
        <v>10590.69</v>
      </c>
      <c r="L221" s="19">
        <f t="shared" si="2"/>
        <v>230931.09000000003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127943.74</v>
      </c>
      <c r="G222" s="18">
        <v>63726.45</v>
      </c>
      <c r="H222" s="18">
        <v>11054.27</v>
      </c>
      <c r="I222" s="18">
        <v>3935.89</v>
      </c>
      <c r="J222" s="18">
        <v>4508.12</v>
      </c>
      <c r="K222" s="18">
        <v>3632.66</v>
      </c>
      <c r="L222" s="19">
        <f t="shared" si="2"/>
        <v>214801.13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403267.75</v>
      </c>
      <c r="G223" s="18">
        <v>200860.34</v>
      </c>
      <c r="H223" s="18">
        <v>7662.99</v>
      </c>
      <c r="I223" s="18">
        <v>2551.86</v>
      </c>
      <c r="J223" s="18">
        <v>208.17</v>
      </c>
      <c r="K223" s="18">
        <v>2467</v>
      </c>
      <c r="L223" s="19">
        <f t="shared" si="2"/>
        <v>617018.11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40277.81</v>
      </c>
      <c r="G224" s="18">
        <v>20061.64</v>
      </c>
      <c r="H224" s="18">
        <v>30535.439999999999</v>
      </c>
      <c r="I224" s="18">
        <v>0</v>
      </c>
      <c r="J224" s="18">
        <v>0</v>
      </c>
      <c r="K224" s="18">
        <v>0</v>
      </c>
      <c r="L224" s="19">
        <f t="shared" si="2"/>
        <v>90874.89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221962.21</v>
      </c>
      <c r="G225" s="18">
        <v>110555.34</v>
      </c>
      <c r="H225" s="18">
        <v>140212.91</v>
      </c>
      <c r="I225" s="18">
        <v>55436.31</v>
      </c>
      <c r="J225" s="18">
        <v>2680.02</v>
      </c>
      <c r="K225" s="18">
        <v>242.37</v>
      </c>
      <c r="L225" s="19">
        <f t="shared" si="2"/>
        <v>531089.16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6805.26</v>
      </c>
      <c r="G226" s="18">
        <v>3389.58</v>
      </c>
      <c r="H226" s="18">
        <v>454054.96</v>
      </c>
      <c r="I226" s="18">
        <v>0</v>
      </c>
      <c r="J226" s="18">
        <v>0</v>
      </c>
      <c r="K226" s="18">
        <v>0</v>
      </c>
      <c r="L226" s="19">
        <f t="shared" si="2"/>
        <v>464249.80000000005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7715.04</v>
      </c>
      <c r="I227" s="18">
        <v>0</v>
      </c>
      <c r="J227" s="18">
        <v>0</v>
      </c>
      <c r="K227" s="18">
        <v>0</v>
      </c>
      <c r="L227" s="19">
        <f>SUM(F227:K227)</f>
        <v>7715.04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5274936.5299999993</v>
      </c>
      <c r="G229" s="41">
        <f>SUM(G215:G228)</f>
        <v>2627350.0700000003</v>
      </c>
      <c r="H229" s="41">
        <f>SUM(H215:H228)</f>
        <v>1077004.58</v>
      </c>
      <c r="I229" s="41">
        <f>SUM(I215:I228)</f>
        <v>244571.68999999997</v>
      </c>
      <c r="J229" s="41">
        <f>SUM(J215:J228)</f>
        <v>41625.61</v>
      </c>
      <c r="K229" s="41">
        <f t="shared" si="3"/>
        <v>17783.43</v>
      </c>
      <c r="L229" s="41">
        <f t="shared" si="3"/>
        <v>9283271.9099999983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4703727.96</v>
      </c>
      <c r="G233" s="18">
        <v>2342841.46</v>
      </c>
      <c r="H233" s="18">
        <v>64390.54</v>
      </c>
      <c r="I233" s="18">
        <v>250426.77</v>
      </c>
      <c r="J233" s="18">
        <v>54379.12</v>
      </c>
      <c r="K233" s="18">
        <v>47415.57</v>
      </c>
      <c r="L233" s="19">
        <f>SUM(F233:K233)</f>
        <v>7463181.4199999999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1348391.72</v>
      </c>
      <c r="G234" s="18">
        <v>671609.42</v>
      </c>
      <c r="H234" s="18">
        <v>658570.5</v>
      </c>
      <c r="I234" s="18">
        <v>7497.9</v>
      </c>
      <c r="J234" s="18">
        <v>0</v>
      </c>
      <c r="K234" s="18">
        <v>0</v>
      </c>
      <c r="L234" s="19">
        <f>SUM(F234:K234)</f>
        <v>2686069.54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23436.55</v>
      </c>
      <c r="I235" s="18">
        <v>0</v>
      </c>
      <c r="J235" s="18">
        <v>0</v>
      </c>
      <c r="K235" s="18">
        <v>0</v>
      </c>
      <c r="L235" s="19">
        <f>SUM(F235:K235)</f>
        <v>23436.55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449817.48</v>
      </c>
      <c r="G236" s="18">
        <v>224045.92</v>
      </c>
      <c r="H236" s="18">
        <v>103649.48</v>
      </c>
      <c r="I236" s="18">
        <v>48220.45</v>
      </c>
      <c r="J236" s="18">
        <v>0</v>
      </c>
      <c r="K236" s="18">
        <v>19215.91</v>
      </c>
      <c r="L236" s="19">
        <f>SUM(F236:K236)</f>
        <v>844949.24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450168.98</v>
      </c>
      <c r="G238" s="18">
        <v>224220.98</v>
      </c>
      <c r="H238" s="18">
        <v>374555.71</v>
      </c>
      <c r="I238" s="18">
        <v>15020.33</v>
      </c>
      <c r="J238" s="18">
        <v>508.38</v>
      </c>
      <c r="K238" s="18">
        <v>0</v>
      </c>
      <c r="L238" s="19">
        <f t="shared" ref="L238:L244" si="4">SUM(F238:K238)</f>
        <v>1064474.3799999999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186072.81</v>
      </c>
      <c r="G239" s="18">
        <v>92679.48</v>
      </c>
      <c r="H239" s="18">
        <v>20795.37</v>
      </c>
      <c r="I239" s="18">
        <v>43428.32</v>
      </c>
      <c r="J239" s="18">
        <v>59858.57</v>
      </c>
      <c r="K239" s="18">
        <v>18827.88</v>
      </c>
      <c r="L239" s="19">
        <f t="shared" si="4"/>
        <v>421662.43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227455.55</v>
      </c>
      <c r="G240" s="18">
        <v>113291.47</v>
      </c>
      <c r="H240" s="18">
        <v>19652.05</v>
      </c>
      <c r="I240" s="18">
        <v>6997.12</v>
      </c>
      <c r="J240" s="18">
        <v>8014.43</v>
      </c>
      <c r="K240" s="18">
        <v>6458.05</v>
      </c>
      <c r="L240" s="19">
        <f t="shared" si="4"/>
        <v>381868.67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874378.92</v>
      </c>
      <c r="G241" s="18">
        <v>435512.25</v>
      </c>
      <c r="H241" s="18">
        <v>18063.509999999998</v>
      </c>
      <c r="I241" s="18">
        <v>9965.34</v>
      </c>
      <c r="J241" s="18">
        <v>370.08</v>
      </c>
      <c r="K241" s="18">
        <v>16311.82</v>
      </c>
      <c r="L241" s="19">
        <f t="shared" si="4"/>
        <v>1354601.9200000002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71605</v>
      </c>
      <c r="G242" s="18">
        <v>35665.15</v>
      </c>
      <c r="H242" s="18">
        <v>54285.21</v>
      </c>
      <c r="I242" s="18">
        <v>0</v>
      </c>
      <c r="J242" s="18">
        <v>0</v>
      </c>
      <c r="K242" s="18">
        <v>0</v>
      </c>
      <c r="L242" s="19">
        <f t="shared" si="4"/>
        <v>161555.35999999999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344328.67</v>
      </c>
      <c r="G243" s="18">
        <v>171503.97</v>
      </c>
      <c r="H243" s="18">
        <v>249267.43</v>
      </c>
      <c r="I243" s="18">
        <v>527072.57999999996</v>
      </c>
      <c r="J243" s="18">
        <v>4764.49</v>
      </c>
      <c r="K243" s="18">
        <v>430.88</v>
      </c>
      <c r="L243" s="19">
        <f t="shared" si="4"/>
        <v>1297368.0199999998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12098.24</v>
      </c>
      <c r="G244" s="18">
        <v>6025.91</v>
      </c>
      <c r="H244" s="18">
        <v>873252.25</v>
      </c>
      <c r="I244" s="18">
        <v>0</v>
      </c>
      <c r="J244" s="18">
        <v>0</v>
      </c>
      <c r="K244" s="18">
        <v>0</v>
      </c>
      <c r="L244" s="19">
        <f t="shared" si="4"/>
        <v>891376.4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13715.64</v>
      </c>
      <c r="I245" s="18">
        <v>0</v>
      </c>
      <c r="J245" s="18">
        <v>0</v>
      </c>
      <c r="K245" s="18">
        <v>0</v>
      </c>
      <c r="L245" s="19">
        <f>SUM(F245:K245)</f>
        <v>13715.64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8668045.3300000001</v>
      </c>
      <c r="G247" s="41">
        <f t="shared" si="5"/>
        <v>4317396.01</v>
      </c>
      <c r="H247" s="41">
        <f t="shared" si="5"/>
        <v>2473634.2400000002</v>
      </c>
      <c r="I247" s="41">
        <f t="shared" si="5"/>
        <v>908628.81</v>
      </c>
      <c r="J247" s="41">
        <f t="shared" si="5"/>
        <v>127895.07</v>
      </c>
      <c r="K247" s="41">
        <f t="shared" si="5"/>
        <v>108660.11000000002</v>
      </c>
      <c r="L247" s="41">
        <f t="shared" si="5"/>
        <v>16604259.570000002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13075</v>
      </c>
      <c r="G251" s="18">
        <v>6512.42</v>
      </c>
      <c r="H251" s="18">
        <v>0</v>
      </c>
      <c r="I251" s="18">
        <v>2008.35</v>
      </c>
      <c r="J251" s="18"/>
      <c r="K251" s="18"/>
      <c r="L251" s="19">
        <f t="shared" si="6"/>
        <v>21595.769999999997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13075</v>
      </c>
      <c r="G256" s="41">
        <f t="shared" si="7"/>
        <v>6512.42</v>
      </c>
      <c r="H256" s="41">
        <f t="shared" si="7"/>
        <v>0</v>
      </c>
      <c r="I256" s="41">
        <f t="shared" si="7"/>
        <v>2008.35</v>
      </c>
      <c r="J256" s="41">
        <f t="shared" si="7"/>
        <v>0</v>
      </c>
      <c r="K256" s="41">
        <f t="shared" si="7"/>
        <v>0</v>
      </c>
      <c r="L256" s="41">
        <f>SUM(F256:K256)</f>
        <v>21595.769999999997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28469217.159999996</v>
      </c>
      <c r="G257" s="41">
        <f t="shared" si="8"/>
        <v>14180000.050000001</v>
      </c>
      <c r="H257" s="41">
        <f t="shared" si="8"/>
        <v>7896541.3900000006</v>
      </c>
      <c r="I257" s="41">
        <f t="shared" si="8"/>
        <v>2251691.79</v>
      </c>
      <c r="J257" s="41">
        <f t="shared" si="8"/>
        <v>295117.65000000002</v>
      </c>
      <c r="K257" s="41">
        <f t="shared" si="8"/>
        <v>176309.57</v>
      </c>
      <c r="L257" s="41">
        <f t="shared" si="8"/>
        <v>53268877.609999999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2971068.23</v>
      </c>
      <c r="L260" s="19">
        <f>SUM(F260:K260)</f>
        <v>2971068.23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1254020.52</v>
      </c>
      <c r="L261" s="19">
        <f>SUM(F261:K261)</f>
        <v>1254020.52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3088.42</v>
      </c>
      <c r="L263" s="19">
        <f>SUM(F263:K263)</f>
        <v>3088.42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4228177.17</v>
      </c>
      <c r="L270" s="41">
        <f t="shared" si="9"/>
        <v>4228177.17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28469217.159999996</v>
      </c>
      <c r="G271" s="42">
        <f t="shared" si="11"/>
        <v>14180000.050000001</v>
      </c>
      <c r="H271" s="42">
        <f t="shared" si="11"/>
        <v>7896541.3900000006</v>
      </c>
      <c r="I271" s="42">
        <f t="shared" si="11"/>
        <v>2251691.79</v>
      </c>
      <c r="J271" s="42">
        <f t="shared" si="11"/>
        <v>295117.65000000002</v>
      </c>
      <c r="K271" s="42">
        <f t="shared" si="11"/>
        <v>4404486.74</v>
      </c>
      <c r="L271" s="42">
        <f t="shared" si="11"/>
        <v>57497054.780000001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116361.51</v>
      </c>
      <c r="G276" s="18">
        <v>7327.02</v>
      </c>
      <c r="H276" s="18">
        <v>0</v>
      </c>
      <c r="I276" s="18">
        <v>6556.39</v>
      </c>
      <c r="J276" s="18">
        <v>4737.66</v>
      </c>
      <c r="K276" s="18">
        <v>0</v>
      </c>
      <c r="L276" s="19">
        <f>SUM(F276:K276)</f>
        <v>134982.57999999999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153424.14000000001</v>
      </c>
      <c r="G277" s="18">
        <v>0</v>
      </c>
      <c r="H277" s="18">
        <v>83639.929999999993</v>
      </c>
      <c r="I277" s="18">
        <v>0</v>
      </c>
      <c r="J277" s="18">
        <v>0</v>
      </c>
      <c r="K277" s="18">
        <v>0</v>
      </c>
      <c r="L277" s="19">
        <f>SUM(F277:K277)</f>
        <v>237064.07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79434.880000000005</v>
      </c>
      <c r="G281" s="18">
        <v>0</v>
      </c>
      <c r="H281" s="18">
        <v>770.55</v>
      </c>
      <c r="I281" s="18">
        <v>815.54</v>
      </c>
      <c r="J281" s="18">
        <v>0</v>
      </c>
      <c r="K281" s="18">
        <v>0</v>
      </c>
      <c r="L281" s="19">
        <f t="shared" ref="L281:L287" si="12">SUM(F281:K281)</f>
        <v>81020.97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3340</v>
      </c>
      <c r="G282" s="18">
        <v>185.39</v>
      </c>
      <c r="H282" s="18">
        <v>15796.43</v>
      </c>
      <c r="I282" s="18">
        <v>0</v>
      </c>
      <c r="J282" s="18">
        <v>0</v>
      </c>
      <c r="K282" s="18">
        <v>0</v>
      </c>
      <c r="L282" s="19">
        <f t="shared" si="12"/>
        <v>19321.82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3132</v>
      </c>
      <c r="K286" s="18">
        <v>0</v>
      </c>
      <c r="L286" s="19">
        <f t="shared" si="12"/>
        <v>3132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/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540</v>
      </c>
      <c r="I288" s="18">
        <v>75</v>
      </c>
      <c r="J288" s="18">
        <v>0</v>
      </c>
      <c r="K288" s="18">
        <v>0</v>
      </c>
      <c r="L288" s="19">
        <f>SUM(F288:K288)</f>
        <v>615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352560.53</v>
      </c>
      <c r="G290" s="42">
        <f t="shared" si="13"/>
        <v>7512.4100000000008</v>
      </c>
      <c r="H290" s="42">
        <f t="shared" si="13"/>
        <v>100746.91</v>
      </c>
      <c r="I290" s="42">
        <f t="shared" si="13"/>
        <v>7446.93</v>
      </c>
      <c r="J290" s="42">
        <f t="shared" si="13"/>
        <v>7869.66</v>
      </c>
      <c r="K290" s="42">
        <f t="shared" si="13"/>
        <v>0</v>
      </c>
      <c r="L290" s="41">
        <f t="shared" si="13"/>
        <v>476136.44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7200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7200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31973.279999999999</v>
      </c>
      <c r="G296" s="18">
        <v>0</v>
      </c>
      <c r="H296" s="18">
        <v>30110.37</v>
      </c>
      <c r="I296" s="18">
        <v>0</v>
      </c>
      <c r="J296" s="18">
        <v>0</v>
      </c>
      <c r="K296" s="18">
        <v>0</v>
      </c>
      <c r="L296" s="19">
        <f>SUM(F296:K296)</f>
        <v>62083.649999999994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51399.040000000001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51399.040000000001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360</v>
      </c>
      <c r="G301" s="18">
        <v>0</v>
      </c>
      <c r="H301" s="18">
        <v>6449.36</v>
      </c>
      <c r="I301" s="18">
        <v>0</v>
      </c>
      <c r="J301" s="18">
        <v>0</v>
      </c>
      <c r="K301" s="18">
        <v>0</v>
      </c>
      <c r="L301" s="19">
        <f t="shared" si="14"/>
        <v>6809.36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540</v>
      </c>
      <c r="I307" s="18">
        <v>75</v>
      </c>
      <c r="J307" s="18">
        <v>0</v>
      </c>
      <c r="K307" s="18">
        <v>0</v>
      </c>
      <c r="L307" s="19">
        <f>SUM(F307:K307)</f>
        <v>615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90932.32</v>
      </c>
      <c r="G309" s="42">
        <f t="shared" si="15"/>
        <v>0</v>
      </c>
      <c r="H309" s="42">
        <f t="shared" si="15"/>
        <v>37099.729999999996</v>
      </c>
      <c r="I309" s="42">
        <f t="shared" si="15"/>
        <v>75</v>
      </c>
      <c r="J309" s="42">
        <f t="shared" si="15"/>
        <v>0</v>
      </c>
      <c r="K309" s="42">
        <f t="shared" si="15"/>
        <v>0</v>
      </c>
      <c r="L309" s="41">
        <f t="shared" si="15"/>
        <v>128107.05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12800</v>
      </c>
      <c r="G314" s="18">
        <v>0</v>
      </c>
      <c r="H314" s="18">
        <v>0</v>
      </c>
      <c r="I314" s="18">
        <v>0</v>
      </c>
      <c r="J314" s="18">
        <v>25000</v>
      </c>
      <c r="K314" s="18">
        <v>0</v>
      </c>
      <c r="L314" s="19">
        <f>SUM(F314:K314)</f>
        <v>37800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175279.58</v>
      </c>
      <c r="G315" s="18">
        <v>0</v>
      </c>
      <c r="H315" s="18">
        <v>53529.55</v>
      </c>
      <c r="I315" s="18">
        <v>500</v>
      </c>
      <c r="J315" s="18">
        <v>0</v>
      </c>
      <c r="K315" s="18">
        <v>0</v>
      </c>
      <c r="L315" s="19">
        <f>SUM(F315:K315)</f>
        <v>229309.13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893</v>
      </c>
      <c r="J317" s="18">
        <v>0</v>
      </c>
      <c r="K317" s="18">
        <v>0</v>
      </c>
      <c r="L317" s="19">
        <f>SUM(F317:K317)</f>
        <v>893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102798.08</v>
      </c>
      <c r="G319" s="18">
        <v>0</v>
      </c>
      <c r="H319" s="18">
        <v>3668.75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106466.83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640</v>
      </c>
      <c r="G320" s="18">
        <v>0</v>
      </c>
      <c r="H320" s="18">
        <v>2641.37</v>
      </c>
      <c r="I320" s="18">
        <v>0</v>
      </c>
      <c r="J320" s="18">
        <v>0</v>
      </c>
      <c r="K320" s="18">
        <v>0</v>
      </c>
      <c r="L320" s="19">
        <f t="shared" si="16"/>
        <v>3281.37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291517.65999999997</v>
      </c>
      <c r="G328" s="42">
        <f t="shared" si="17"/>
        <v>0</v>
      </c>
      <c r="H328" s="42">
        <f t="shared" si="17"/>
        <v>59839.670000000006</v>
      </c>
      <c r="I328" s="42">
        <f t="shared" si="17"/>
        <v>1393</v>
      </c>
      <c r="J328" s="42">
        <f t="shared" si="17"/>
        <v>25000</v>
      </c>
      <c r="K328" s="42">
        <f t="shared" si="17"/>
        <v>0</v>
      </c>
      <c r="L328" s="41">
        <f t="shared" si="17"/>
        <v>377750.33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4366.28</v>
      </c>
      <c r="G333" s="18">
        <v>934.38</v>
      </c>
      <c r="H333" s="18">
        <v>0</v>
      </c>
      <c r="I333" s="18">
        <v>663.97</v>
      </c>
      <c r="J333" s="18">
        <v>0</v>
      </c>
      <c r="K333" s="18">
        <v>0</v>
      </c>
      <c r="L333" s="19">
        <f t="shared" si="18"/>
        <v>5964.63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4366.28</v>
      </c>
      <c r="G337" s="41">
        <f t="shared" si="19"/>
        <v>934.38</v>
      </c>
      <c r="H337" s="41">
        <f t="shared" si="19"/>
        <v>0</v>
      </c>
      <c r="I337" s="41">
        <f t="shared" si="19"/>
        <v>663.97</v>
      </c>
      <c r="J337" s="41">
        <f t="shared" si="19"/>
        <v>0</v>
      </c>
      <c r="K337" s="41">
        <f t="shared" si="19"/>
        <v>0</v>
      </c>
      <c r="L337" s="41">
        <f t="shared" si="18"/>
        <v>5964.63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739376.79</v>
      </c>
      <c r="G338" s="41">
        <f t="shared" si="20"/>
        <v>8446.7900000000009</v>
      </c>
      <c r="H338" s="41">
        <f t="shared" si="20"/>
        <v>197686.31000000003</v>
      </c>
      <c r="I338" s="41">
        <f t="shared" si="20"/>
        <v>9578.9</v>
      </c>
      <c r="J338" s="41">
        <f t="shared" si="20"/>
        <v>32869.660000000003</v>
      </c>
      <c r="K338" s="41">
        <f t="shared" si="20"/>
        <v>0</v>
      </c>
      <c r="L338" s="41">
        <f t="shared" si="20"/>
        <v>987958.45000000007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739376.79</v>
      </c>
      <c r="G352" s="41">
        <f>G338</f>
        <v>8446.7900000000009</v>
      </c>
      <c r="H352" s="41">
        <f>H338</f>
        <v>197686.31000000003</v>
      </c>
      <c r="I352" s="41">
        <f>I338</f>
        <v>9578.9</v>
      </c>
      <c r="J352" s="41">
        <f>J338</f>
        <v>32869.660000000003</v>
      </c>
      <c r="K352" s="47">
        <f>K338+K351</f>
        <v>0</v>
      </c>
      <c r="L352" s="41">
        <f>L338+L351</f>
        <v>987958.45000000007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230372.1</v>
      </c>
      <c r="G358" s="18">
        <v>50671.18</v>
      </c>
      <c r="H358" s="18">
        <v>24110.27</v>
      </c>
      <c r="I358" s="18">
        <v>410491.19</v>
      </c>
      <c r="J358" s="18">
        <v>21665.38</v>
      </c>
      <c r="K358" s="18">
        <v>1241.75</v>
      </c>
      <c r="L358" s="13">
        <f>SUM(F358:K358)</f>
        <v>738551.87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100484.95</v>
      </c>
      <c r="G359" s="18">
        <v>18241.63</v>
      </c>
      <c r="H359" s="18">
        <v>5044.38</v>
      </c>
      <c r="I359" s="18">
        <v>222084.43</v>
      </c>
      <c r="J359" s="18">
        <v>7001.06</v>
      </c>
      <c r="K359" s="18">
        <v>447.03</v>
      </c>
      <c r="L359" s="19">
        <f>SUM(F359:K359)</f>
        <v>353303.48000000004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151266.26</v>
      </c>
      <c r="G360" s="18">
        <v>32429.55</v>
      </c>
      <c r="H360" s="18">
        <v>10078.17</v>
      </c>
      <c r="I360" s="18">
        <v>350934.08</v>
      </c>
      <c r="J360" s="18">
        <v>18306.32</v>
      </c>
      <c r="K360" s="18">
        <v>794.72</v>
      </c>
      <c r="L360" s="19">
        <f>SUM(F360:K360)</f>
        <v>563809.1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482123.31</v>
      </c>
      <c r="G362" s="47">
        <f t="shared" si="22"/>
        <v>101342.36</v>
      </c>
      <c r="H362" s="47">
        <f t="shared" si="22"/>
        <v>39232.82</v>
      </c>
      <c r="I362" s="47">
        <f t="shared" si="22"/>
        <v>983509.7</v>
      </c>
      <c r="J362" s="47">
        <f t="shared" si="22"/>
        <v>46972.76</v>
      </c>
      <c r="K362" s="47">
        <f t="shared" si="22"/>
        <v>2483.5</v>
      </c>
      <c r="L362" s="47">
        <f t="shared" si="22"/>
        <v>1655664.4500000002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372964.91</v>
      </c>
      <c r="G367" s="18">
        <v>200460.67</v>
      </c>
      <c r="H367" s="18">
        <v>328518.90999999997</v>
      </c>
      <c r="I367" s="56">
        <f>SUM(F367:H367)</f>
        <v>901944.49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37526.28</v>
      </c>
      <c r="G368" s="63">
        <v>21623.759999999998</v>
      </c>
      <c r="H368" s="63">
        <v>22415.17</v>
      </c>
      <c r="I368" s="56">
        <f>SUM(F368:H368)</f>
        <v>81565.209999999992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410491.18999999994</v>
      </c>
      <c r="G369" s="47">
        <f>SUM(G367:G368)</f>
        <v>222084.43000000002</v>
      </c>
      <c r="H369" s="47">
        <f>SUM(H367:H368)</f>
        <v>350934.07999999996</v>
      </c>
      <c r="I369" s="47">
        <f>SUM(I367:I368)</f>
        <v>983509.7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0</v>
      </c>
      <c r="H396" s="18">
        <v>1438.24</v>
      </c>
      <c r="I396" s="18">
        <v>0</v>
      </c>
      <c r="J396" s="24" t="s">
        <v>289</v>
      </c>
      <c r="K396" s="24" t="s">
        <v>289</v>
      </c>
      <c r="L396" s="56">
        <f t="shared" si="26"/>
        <v>1438.24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1438.24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1438.24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1438.24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1438.24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350000</v>
      </c>
      <c r="L422" s="56">
        <f t="shared" si="29"/>
        <v>350000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350000</v>
      </c>
      <c r="L427" s="47">
        <f t="shared" si="30"/>
        <v>350000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350000</v>
      </c>
      <c r="L434" s="47">
        <f t="shared" si="32"/>
        <v>350000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154373.79999999999</v>
      </c>
      <c r="G442" s="18">
        <v>327273.99</v>
      </c>
      <c r="H442" s="18">
        <v>0</v>
      </c>
      <c r="I442" s="56">
        <f t="shared" si="33"/>
        <v>481647.79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154373.79999999999</v>
      </c>
      <c r="G446" s="13">
        <f>SUM(G439:G445)</f>
        <v>327273.99</v>
      </c>
      <c r="H446" s="13">
        <f>SUM(H439:H445)</f>
        <v>0</v>
      </c>
      <c r="I446" s="13">
        <f>SUM(I439:I445)</f>
        <v>481647.79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154373.79999999999</v>
      </c>
      <c r="G459" s="18">
        <v>327273.99</v>
      </c>
      <c r="H459" s="18">
        <v>0</v>
      </c>
      <c r="I459" s="56">
        <f t="shared" si="34"/>
        <v>481647.79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154373.79999999999</v>
      </c>
      <c r="G460" s="83">
        <f>SUM(G454:G459)</f>
        <v>327273.99</v>
      </c>
      <c r="H460" s="83">
        <f>SUM(H454:H459)</f>
        <v>0</v>
      </c>
      <c r="I460" s="83">
        <f>SUM(I454:I459)</f>
        <v>481647.79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154373.79999999999</v>
      </c>
      <c r="G461" s="42">
        <f>G452+G460</f>
        <v>327273.99</v>
      </c>
      <c r="H461" s="42">
        <f>H452+H460</f>
        <v>0</v>
      </c>
      <c r="I461" s="42">
        <f>I452+I460</f>
        <v>481647.79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2624876.5</v>
      </c>
      <c r="G465" s="18">
        <v>264838.06</v>
      </c>
      <c r="H465" s="18">
        <v>0</v>
      </c>
      <c r="I465" s="18">
        <v>257767.49</v>
      </c>
      <c r="J465" s="18">
        <v>830209.55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57850783.189999998</v>
      </c>
      <c r="G468" s="18">
        <f>G193</f>
        <v>1650520.04</v>
      </c>
      <c r="H468" s="18">
        <f>H193</f>
        <v>987958.45</v>
      </c>
      <c r="I468" s="18">
        <v>0</v>
      </c>
      <c r="J468" s="18">
        <v>1438.24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57850783.189999998</v>
      </c>
      <c r="G470" s="53">
        <f>SUM(G468:G469)</f>
        <v>1650520.04</v>
      </c>
      <c r="H470" s="53">
        <f>SUM(H468:H469)</f>
        <v>987958.45</v>
      </c>
      <c r="I470" s="53">
        <f>SUM(I468:I469)</f>
        <v>0</v>
      </c>
      <c r="J470" s="53">
        <f>SUM(J468:J469)</f>
        <v>1438.24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57497054.780000001</v>
      </c>
      <c r="G472" s="18">
        <f>L362</f>
        <v>1655664.4500000002</v>
      </c>
      <c r="H472" s="18">
        <f>L338</f>
        <v>987958.45000000007</v>
      </c>
      <c r="I472" s="18">
        <v>0</v>
      </c>
      <c r="J472" s="18">
        <v>350000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57497054.780000001</v>
      </c>
      <c r="G474" s="53">
        <f>SUM(G472:G473)</f>
        <v>1655664.4500000002</v>
      </c>
      <c r="H474" s="53">
        <f>SUM(H472:H473)</f>
        <v>987958.45000000007</v>
      </c>
      <c r="I474" s="53">
        <f>SUM(I472:I473)</f>
        <v>0</v>
      </c>
      <c r="J474" s="53">
        <f>SUM(J472:J473)</f>
        <v>350000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2978604.9099999964</v>
      </c>
      <c r="G476" s="53">
        <f>(G465+G470)- G474</f>
        <v>259693.64999999991</v>
      </c>
      <c r="H476" s="53">
        <f>(H465+H470)- H474</f>
        <v>0</v>
      </c>
      <c r="I476" s="53">
        <f>(I465+I470)- I474</f>
        <v>257767.49</v>
      </c>
      <c r="J476" s="53">
        <f>(J465+J470)- J474</f>
        <v>481647.79000000004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24</v>
      </c>
      <c r="H490" s="154">
        <v>20</v>
      </c>
      <c r="I490" s="154">
        <v>10</v>
      </c>
      <c r="J490" s="154">
        <v>5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274" t="s">
        <v>916</v>
      </c>
      <c r="I491" s="274" t="s">
        <v>918</v>
      </c>
      <c r="J491" s="274" t="s">
        <v>920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274" t="s">
        <v>917</v>
      </c>
      <c r="I492" s="274" t="s">
        <v>919</v>
      </c>
      <c r="J492" s="274" t="s">
        <v>921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3935000</v>
      </c>
      <c r="G493" s="18">
        <v>47505000</v>
      </c>
      <c r="H493" s="18">
        <v>800000</v>
      </c>
      <c r="I493" s="18">
        <v>2681350</v>
      </c>
      <c r="J493" s="18">
        <v>320653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3.34</v>
      </c>
      <c r="G494" s="18">
        <v>4.34</v>
      </c>
      <c r="H494" s="18">
        <v>4.5199999999999996</v>
      </c>
      <c r="I494" s="18">
        <v>4.28</v>
      </c>
      <c r="J494" s="18">
        <v>2.68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2325000</v>
      </c>
      <c r="G495" s="18">
        <v>27142735</v>
      </c>
      <c r="H495" s="18">
        <v>560000</v>
      </c>
      <c r="I495" s="18">
        <v>1335000</v>
      </c>
      <c r="J495" s="18">
        <v>0</v>
      </c>
      <c r="K495" s="53">
        <f>SUM(F495:J495)</f>
        <v>31362735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>
        <v>320653</v>
      </c>
      <c r="K496" s="53">
        <f t="shared" ref="K496:K503" si="35">SUM(F496:J496)</f>
        <v>320653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390000</v>
      </c>
      <c r="G497" s="18">
        <v>2271068</v>
      </c>
      <c r="H497" s="18">
        <v>40000</v>
      </c>
      <c r="I497" s="18">
        <v>270000</v>
      </c>
      <c r="J497" s="18">
        <v>0</v>
      </c>
      <c r="K497" s="53">
        <f t="shared" si="35"/>
        <v>2971068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1935000</v>
      </c>
      <c r="G498" s="204">
        <v>24871667</v>
      </c>
      <c r="H498" s="204">
        <v>520000</v>
      </c>
      <c r="I498" s="204">
        <v>1065000</v>
      </c>
      <c r="J498" s="204">
        <v>320653</v>
      </c>
      <c r="K498" s="205">
        <f t="shared" si="35"/>
        <v>28712320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213656</v>
      </c>
      <c r="G499" s="18">
        <v>28626071</v>
      </c>
      <c r="H499" s="18">
        <v>153485</v>
      </c>
      <c r="I499" s="18">
        <v>105111</v>
      </c>
      <c r="J499" s="18">
        <v>22512</v>
      </c>
      <c r="K499" s="53">
        <f t="shared" si="35"/>
        <v>29120835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2148656</v>
      </c>
      <c r="G500" s="42">
        <f>SUM(G498:G499)</f>
        <v>53497738</v>
      </c>
      <c r="H500" s="42">
        <f>SUM(H498:H499)</f>
        <v>673485</v>
      </c>
      <c r="I500" s="42">
        <f>SUM(I498:I499)</f>
        <v>1170111</v>
      </c>
      <c r="J500" s="42">
        <f>SUM(J498:J499)</f>
        <v>343165</v>
      </c>
      <c r="K500" s="42">
        <f t="shared" si="35"/>
        <v>57833155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390000</v>
      </c>
      <c r="G501" s="204">
        <v>2165303</v>
      </c>
      <c r="H501" s="204">
        <v>40000</v>
      </c>
      <c r="I501" s="204">
        <v>270000</v>
      </c>
      <c r="J501" s="204">
        <v>63572</v>
      </c>
      <c r="K501" s="205">
        <f t="shared" si="35"/>
        <v>2928875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79938</v>
      </c>
      <c r="G502" s="18">
        <v>1178387</v>
      </c>
      <c r="H502" s="18">
        <v>22470</v>
      </c>
      <c r="I502" s="18">
        <v>45488</v>
      </c>
      <c r="J502" s="18">
        <v>5061</v>
      </c>
      <c r="K502" s="53">
        <f t="shared" si="35"/>
        <v>1331344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469938</v>
      </c>
      <c r="G503" s="42">
        <f>SUM(G501:G502)</f>
        <v>3343690</v>
      </c>
      <c r="H503" s="42">
        <f>SUM(H501:H502)</f>
        <v>62470</v>
      </c>
      <c r="I503" s="42">
        <f>SUM(I501:I502)</f>
        <v>315488</v>
      </c>
      <c r="J503" s="42">
        <f>SUM(J501:J502)</f>
        <v>68633</v>
      </c>
      <c r="K503" s="42">
        <f t="shared" si="35"/>
        <v>4260219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2996847.67</v>
      </c>
      <c r="G521" s="18">
        <v>1492675.4</v>
      </c>
      <c r="H521" s="18">
        <v>308227.11</v>
      </c>
      <c r="I521" s="18">
        <v>18846.560000000001</v>
      </c>
      <c r="J521" s="18">
        <v>0</v>
      </c>
      <c r="K521" s="18">
        <v>0</v>
      </c>
      <c r="L521" s="88">
        <f>SUM(F521:K521)</f>
        <v>4816596.74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840219.93</v>
      </c>
      <c r="G522" s="18">
        <v>418498.28</v>
      </c>
      <c r="H522" s="18">
        <v>227970.65</v>
      </c>
      <c r="I522" s="18">
        <v>3760.16</v>
      </c>
      <c r="J522" s="18">
        <v>0</v>
      </c>
      <c r="K522" s="18">
        <v>0</v>
      </c>
      <c r="L522" s="88">
        <f>SUM(F522:K522)</f>
        <v>1490449.0199999998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1520992.7</v>
      </c>
      <c r="G523" s="18">
        <v>671609.42</v>
      </c>
      <c r="H523" s="18">
        <v>712100.05</v>
      </c>
      <c r="I523" s="18">
        <v>7497.9</v>
      </c>
      <c r="J523" s="18">
        <v>0</v>
      </c>
      <c r="K523" s="18">
        <v>0</v>
      </c>
      <c r="L523" s="88">
        <f>SUM(F523:K523)</f>
        <v>2912200.07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5358060.3</v>
      </c>
      <c r="G524" s="108">
        <f t="shared" ref="G524:L524" si="36">SUM(G521:G523)</f>
        <v>2582783.1</v>
      </c>
      <c r="H524" s="108">
        <f t="shared" si="36"/>
        <v>1248297.81</v>
      </c>
      <c r="I524" s="108">
        <f t="shared" si="36"/>
        <v>30104.620000000003</v>
      </c>
      <c r="J524" s="108">
        <f t="shared" si="36"/>
        <v>0</v>
      </c>
      <c r="K524" s="108">
        <f t="shared" si="36"/>
        <v>0</v>
      </c>
      <c r="L524" s="89">
        <f t="shared" si="36"/>
        <v>9219245.8300000001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456003.54</v>
      </c>
      <c r="G526" s="18">
        <v>227127.08</v>
      </c>
      <c r="H526" s="18">
        <v>982554.68</v>
      </c>
      <c r="I526" s="18">
        <v>10837.39</v>
      </c>
      <c r="J526" s="18">
        <v>0</v>
      </c>
      <c r="K526" s="18">
        <v>0</v>
      </c>
      <c r="L526" s="88">
        <f>SUM(F526:K526)</f>
        <v>1676522.69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122950.66</v>
      </c>
      <c r="G527" s="18">
        <v>61239.49</v>
      </c>
      <c r="H527" s="18">
        <v>144250.87</v>
      </c>
      <c r="I527" s="18">
        <v>3311.71</v>
      </c>
      <c r="J527" s="18">
        <v>0</v>
      </c>
      <c r="K527" s="18">
        <v>0</v>
      </c>
      <c r="L527" s="88">
        <f>SUM(F527:K527)</f>
        <v>331752.73000000004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119730.05</v>
      </c>
      <c r="G528" s="18">
        <v>59635.360000000001</v>
      </c>
      <c r="H528" s="18">
        <v>309520.82</v>
      </c>
      <c r="I528" s="18">
        <v>5597.9</v>
      </c>
      <c r="J528" s="18">
        <v>0</v>
      </c>
      <c r="K528" s="18">
        <v>0</v>
      </c>
      <c r="L528" s="88">
        <f>SUM(F528:K528)</f>
        <v>494484.13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698684.25</v>
      </c>
      <c r="G529" s="89">
        <f t="shared" ref="G529:L529" si="37">SUM(G526:G528)</f>
        <v>348001.93</v>
      </c>
      <c r="H529" s="89">
        <f t="shared" si="37"/>
        <v>1436326.37</v>
      </c>
      <c r="I529" s="89">
        <f t="shared" si="37"/>
        <v>19747</v>
      </c>
      <c r="J529" s="89">
        <f t="shared" si="37"/>
        <v>0</v>
      </c>
      <c r="K529" s="89">
        <f t="shared" si="37"/>
        <v>0</v>
      </c>
      <c r="L529" s="89">
        <f t="shared" si="37"/>
        <v>2502759.5499999998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78708.12</v>
      </c>
      <c r="G531" s="18">
        <v>39203.08</v>
      </c>
      <c r="H531" s="18">
        <v>2239.6799999999998</v>
      </c>
      <c r="I531" s="18">
        <v>612.35</v>
      </c>
      <c r="J531" s="18">
        <v>12522.55</v>
      </c>
      <c r="K531" s="18">
        <v>1548.91</v>
      </c>
      <c r="L531" s="88">
        <f>SUM(F531:K531)</f>
        <v>134834.69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28334.92</v>
      </c>
      <c r="G532" s="18">
        <v>14113.11</v>
      </c>
      <c r="H532" s="18">
        <v>806.28</v>
      </c>
      <c r="I532" s="18">
        <v>220.45</v>
      </c>
      <c r="J532" s="18">
        <v>4508.12</v>
      </c>
      <c r="K532" s="18">
        <v>557.61</v>
      </c>
      <c r="L532" s="88">
        <f>SUM(F532:K532)</f>
        <v>48540.49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69938.19</v>
      </c>
      <c r="G533" s="18">
        <v>34834.94</v>
      </c>
      <c r="H533" s="18">
        <v>1433.4</v>
      </c>
      <c r="I533" s="18">
        <v>391.9</v>
      </c>
      <c r="J533" s="18">
        <v>8014.43</v>
      </c>
      <c r="K533" s="18">
        <v>991.3</v>
      </c>
      <c r="L533" s="88">
        <f>SUM(F533:K533)</f>
        <v>115604.15999999999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176981.22999999998</v>
      </c>
      <c r="G534" s="89">
        <f t="shared" ref="G534:L534" si="38">SUM(G531:G533)</f>
        <v>88151.13</v>
      </c>
      <c r="H534" s="89">
        <f t="shared" si="38"/>
        <v>4479.3600000000006</v>
      </c>
      <c r="I534" s="89">
        <f t="shared" si="38"/>
        <v>1224.6999999999998</v>
      </c>
      <c r="J534" s="89">
        <f t="shared" si="38"/>
        <v>25045.1</v>
      </c>
      <c r="K534" s="89">
        <f t="shared" si="38"/>
        <v>3097.8199999999997</v>
      </c>
      <c r="L534" s="89">
        <f t="shared" si="38"/>
        <v>298979.33999999997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2455.5</v>
      </c>
      <c r="I536" s="18">
        <v>0</v>
      </c>
      <c r="J536" s="18">
        <v>0</v>
      </c>
      <c r="K536" s="18">
        <v>0</v>
      </c>
      <c r="L536" s="88">
        <f>SUM(F536:K536)</f>
        <v>2455.5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987</v>
      </c>
      <c r="I538" s="18">
        <v>0</v>
      </c>
      <c r="J538" s="18">
        <v>0</v>
      </c>
      <c r="K538" s="18">
        <v>0</v>
      </c>
      <c r="L538" s="88">
        <f>SUM(F538:K538)</f>
        <v>987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3442.5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3442.5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5860.08</v>
      </c>
      <c r="G541" s="18">
        <v>2918.8</v>
      </c>
      <c r="H541" s="18">
        <v>372413.45</v>
      </c>
      <c r="I541" s="18">
        <v>0</v>
      </c>
      <c r="J541" s="18">
        <v>0</v>
      </c>
      <c r="K541" s="18">
        <v>0</v>
      </c>
      <c r="L541" s="88">
        <f>SUM(F541:K541)</f>
        <v>381192.33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2109.63</v>
      </c>
      <c r="G542" s="18">
        <v>1050.77</v>
      </c>
      <c r="H542" s="18">
        <v>134068.84</v>
      </c>
      <c r="I542" s="18">
        <v>0</v>
      </c>
      <c r="J542" s="18">
        <v>0</v>
      </c>
      <c r="K542" s="18">
        <v>0</v>
      </c>
      <c r="L542" s="88">
        <f>SUM(F542:K542)</f>
        <v>137229.24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3750.45</v>
      </c>
      <c r="G543" s="18">
        <v>1868.03</v>
      </c>
      <c r="H543" s="18">
        <v>238344.6</v>
      </c>
      <c r="I543" s="18">
        <v>0</v>
      </c>
      <c r="J543" s="18">
        <v>0</v>
      </c>
      <c r="K543" s="18">
        <v>0</v>
      </c>
      <c r="L543" s="88">
        <f>SUM(F543:K543)</f>
        <v>243963.08000000002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11720.16</v>
      </c>
      <c r="G544" s="193">
        <f t="shared" ref="G544:L544" si="40">SUM(G541:G543)</f>
        <v>5837.6</v>
      </c>
      <c r="H544" s="193">
        <f t="shared" si="40"/>
        <v>744826.89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762384.65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6245445.9399999995</v>
      </c>
      <c r="G545" s="89">
        <f t="shared" ref="G545:L545" si="41">G524+G529+G534+G539+G544</f>
        <v>3024773.7600000002</v>
      </c>
      <c r="H545" s="89">
        <f t="shared" si="41"/>
        <v>3437372.93</v>
      </c>
      <c r="I545" s="89">
        <f t="shared" si="41"/>
        <v>51076.32</v>
      </c>
      <c r="J545" s="89">
        <f t="shared" si="41"/>
        <v>25045.1</v>
      </c>
      <c r="K545" s="89">
        <f t="shared" si="41"/>
        <v>3097.8199999999997</v>
      </c>
      <c r="L545" s="89">
        <f t="shared" si="41"/>
        <v>12786811.869999999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4816596.74</v>
      </c>
      <c r="G549" s="87">
        <f>L526</f>
        <v>1676522.69</v>
      </c>
      <c r="H549" s="87">
        <f>L531</f>
        <v>134834.69</v>
      </c>
      <c r="I549" s="87">
        <f>L536</f>
        <v>2455.5</v>
      </c>
      <c r="J549" s="87">
        <f>L541</f>
        <v>381192.33</v>
      </c>
      <c r="K549" s="87">
        <f>SUM(F549:J549)</f>
        <v>7011601.9500000002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1490449.0199999998</v>
      </c>
      <c r="G550" s="87">
        <f>L527</f>
        <v>331752.73000000004</v>
      </c>
      <c r="H550" s="87">
        <f>L532</f>
        <v>48540.49</v>
      </c>
      <c r="I550" s="87">
        <f>L537</f>
        <v>0</v>
      </c>
      <c r="J550" s="87">
        <f>L542</f>
        <v>137229.24</v>
      </c>
      <c r="K550" s="87">
        <f>SUM(F550:J550)</f>
        <v>2007971.4799999997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2912200.07</v>
      </c>
      <c r="G551" s="87">
        <f>L528</f>
        <v>494484.13</v>
      </c>
      <c r="H551" s="87">
        <f>L533</f>
        <v>115604.15999999999</v>
      </c>
      <c r="I551" s="87">
        <f>L538</f>
        <v>987</v>
      </c>
      <c r="J551" s="87">
        <f>L543</f>
        <v>243963.08000000002</v>
      </c>
      <c r="K551" s="87">
        <f>SUM(F551:J551)</f>
        <v>3767238.44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9219245.8300000001</v>
      </c>
      <c r="G552" s="89">
        <f t="shared" si="42"/>
        <v>2502759.5499999998</v>
      </c>
      <c r="H552" s="89">
        <f t="shared" si="42"/>
        <v>298979.33999999997</v>
      </c>
      <c r="I552" s="89">
        <f t="shared" si="42"/>
        <v>3442.5</v>
      </c>
      <c r="J552" s="89">
        <f t="shared" si="42"/>
        <v>762384.65</v>
      </c>
      <c r="K552" s="89">
        <f t="shared" si="42"/>
        <v>12786811.869999999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4185.32</v>
      </c>
      <c r="G562" s="18">
        <v>2084.63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6269.95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46880.71</v>
      </c>
      <c r="G563" s="18">
        <v>23350.43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70231.14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2678.6</v>
      </c>
      <c r="G564" s="18">
        <v>1334.16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4012.76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53744.63</v>
      </c>
      <c r="G565" s="89">
        <f t="shared" si="44"/>
        <v>26769.22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80513.849999999991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254887</v>
      </c>
      <c r="G567" s="18">
        <v>126954.59</v>
      </c>
      <c r="H567" s="18">
        <v>0</v>
      </c>
      <c r="I567" s="18">
        <v>10947.04</v>
      </c>
      <c r="J567" s="18">
        <v>0</v>
      </c>
      <c r="K567" s="18">
        <v>0</v>
      </c>
      <c r="L567" s="88">
        <f>SUM(F567:K567)</f>
        <v>392788.62999999995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31330.5</v>
      </c>
      <c r="G568" s="18">
        <v>15605.15</v>
      </c>
      <c r="H568" s="18">
        <v>0</v>
      </c>
      <c r="I568" s="18">
        <v>1745.25</v>
      </c>
      <c r="J568" s="18">
        <v>0</v>
      </c>
      <c r="K568" s="18">
        <v>0</v>
      </c>
      <c r="L568" s="88">
        <f>SUM(F568:K568)</f>
        <v>48680.9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286217.5</v>
      </c>
      <c r="G570" s="193">
        <f t="shared" ref="G570:L570" si="45">SUM(G567:G569)</f>
        <v>142559.74</v>
      </c>
      <c r="H570" s="193">
        <f t="shared" si="45"/>
        <v>0</v>
      </c>
      <c r="I570" s="193">
        <f t="shared" si="45"/>
        <v>12692.29</v>
      </c>
      <c r="J570" s="193">
        <f t="shared" si="45"/>
        <v>0</v>
      </c>
      <c r="K570" s="193">
        <f t="shared" si="45"/>
        <v>0</v>
      </c>
      <c r="L570" s="193">
        <f t="shared" si="45"/>
        <v>441469.52999999997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339962.13</v>
      </c>
      <c r="G571" s="89">
        <f t="shared" ref="G571:L571" si="46">G560+G565+G570</f>
        <v>169328.96</v>
      </c>
      <c r="H571" s="89">
        <f t="shared" si="46"/>
        <v>0</v>
      </c>
      <c r="I571" s="89">
        <f t="shared" si="46"/>
        <v>12692.29</v>
      </c>
      <c r="J571" s="89">
        <f t="shared" si="46"/>
        <v>0</v>
      </c>
      <c r="K571" s="89">
        <f t="shared" si="46"/>
        <v>0</v>
      </c>
      <c r="L571" s="89">
        <f t="shared" si="46"/>
        <v>521983.37999999995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68692.679999999993</v>
      </c>
      <c r="G579" s="18">
        <v>0</v>
      </c>
      <c r="H579" s="18">
        <v>735</v>
      </c>
      <c r="I579" s="87">
        <f t="shared" si="47"/>
        <v>69427.679999999993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155693.94</v>
      </c>
      <c r="G582" s="18">
        <v>193445.88</v>
      </c>
      <c r="H582" s="18">
        <v>373186.84</v>
      </c>
      <c r="I582" s="87">
        <f t="shared" si="47"/>
        <v>722326.66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267341.21000000002</v>
      </c>
      <c r="I583" s="87">
        <f t="shared" si="47"/>
        <v>267341.21000000002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21213.279999999999</v>
      </c>
      <c r="I584" s="87">
        <f t="shared" si="47"/>
        <v>21213.279999999999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866750.78</v>
      </c>
      <c r="I591" s="18">
        <v>312030.28000000003</v>
      </c>
      <c r="J591" s="18">
        <v>554720.47</v>
      </c>
      <c r="K591" s="104">
        <f t="shared" ref="K591:K597" si="48">SUM(H591:J591)</f>
        <v>1733501.53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381192.33</v>
      </c>
      <c r="I592" s="18">
        <v>137229.24</v>
      </c>
      <c r="J592" s="18">
        <v>243963.11</v>
      </c>
      <c r="K592" s="104">
        <f t="shared" si="48"/>
        <v>762384.67999999993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10490.28</v>
      </c>
      <c r="J594" s="18">
        <v>78186.23</v>
      </c>
      <c r="K594" s="104">
        <f t="shared" si="48"/>
        <v>88676.51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0</v>
      </c>
      <c r="I595" s="18">
        <v>4500</v>
      </c>
      <c r="J595" s="18">
        <v>14506.59</v>
      </c>
      <c r="K595" s="104">
        <f t="shared" si="48"/>
        <v>19006.59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1247943.1100000001</v>
      </c>
      <c r="I598" s="108">
        <f>SUM(I591:I597)</f>
        <v>464249.80000000005</v>
      </c>
      <c r="J598" s="108">
        <f>SUM(J591:J597)</f>
        <v>891376.39999999991</v>
      </c>
      <c r="K598" s="108">
        <f>SUM(K591:K597)</f>
        <v>2603569.3099999996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133466.63</v>
      </c>
      <c r="I604" s="18">
        <v>41625.61</v>
      </c>
      <c r="J604" s="18">
        <v>152895.07</v>
      </c>
      <c r="K604" s="104">
        <f>SUM(H604:J604)</f>
        <v>327987.31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133466.63</v>
      </c>
      <c r="I605" s="108">
        <f>SUM(I602:I604)</f>
        <v>41625.61</v>
      </c>
      <c r="J605" s="108">
        <f>SUM(J602:J604)</f>
        <v>152895.07</v>
      </c>
      <c r="K605" s="108">
        <f>SUM(K602:K604)</f>
        <v>327987.31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5159.28</v>
      </c>
      <c r="G612" s="18">
        <v>1122.6600000000001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6281.94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64056.2</v>
      </c>
      <c r="G613" s="18">
        <v>13938.63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77994.83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69215.48</v>
      </c>
      <c r="G614" s="108">
        <f t="shared" si="49"/>
        <v>15061.289999999999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84276.77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6194825.8600000003</v>
      </c>
      <c r="H617" s="109">
        <f>SUM(F52)</f>
        <v>6194825.8600000003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332590.50999999995</v>
      </c>
      <c r="H618" s="109">
        <f>SUM(G52)</f>
        <v>332590.51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133564.12</v>
      </c>
      <c r="H619" s="109">
        <f>SUM(H52)</f>
        <v>133564.12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257767.49</v>
      </c>
      <c r="H620" s="109">
        <f>SUM(I52)</f>
        <v>257767.49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481647.79</v>
      </c>
      <c r="H621" s="109">
        <f>SUM(J52)</f>
        <v>481647.79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2978604.91</v>
      </c>
      <c r="H622" s="109">
        <f>F476</f>
        <v>2978604.9099999964</v>
      </c>
      <c r="I622" s="121" t="s">
        <v>101</v>
      </c>
      <c r="J622" s="109">
        <f t="shared" ref="J622:J655" si="50">G622-H622</f>
        <v>3.7252902984619141E-9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259693.65</v>
      </c>
      <c r="H623" s="109">
        <f>G476</f>
        <v>259693.64999999991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257767.49</v>
      </c>
      <c r="H625" s="109">
        <f>I476</f>
        <v>257767.49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481647.79</v>
      </c>
      <c r="H626" s="109">
        <f>J476</f>
        <v>481647.79000000004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57850783.189999998</v>
      </c>
      <c r="H627" s="104">
        <f>SUM(F468)</f>
        <v>57850783.189999998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1650520.04</v>
      </c>
      <c r="H628" s="104">
        <f>SUM(G468)</f>
        <v>1650520.04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987958.45</v>
      </c>
      <c r="H629" s="104">
        <f>SUM(H468)</f>
        <v>987958.45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1438.24</v>
      </c>
      <c r="H631" s="104">
        <f>SUM(J468)</f>
        <v>1438.24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57497054.780000001</v>
      </c>
      <c r="H632" s="104">
        <f>SUM(F472)</f>
        <v>57497054.780000001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987958.45000000007</v>
      </c>
      <c r="H633" s="104">
        <f>SUM(H472)</f>
        <v>987958.45000000007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983509.7</v>
      </c>
      <c r="H634" s="104">
        <f>I369</f>
        <v>983509.7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1655664.4500000002</v>
      </c>
      <c r="H635" s="104">
        <f>SUM(G472)</f>
        <v>1655664.4500000002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1438.24</v>
      </c>
      <c r="H637" s="164">
        <f>SUM(J468)</f>
        <v>1438.24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350000</v>
      </c>
      <c r="H638" s="164">
        <f>SUM(J472)</f>
        <v>350000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154373.79999999999</v>
      </c>
      <c r="H639" s="104">
        <f>SUM(F461)</f>
        <v>154373.79999999999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327273.99</v>
      </c>
      <c r="H640" s="104">
        <f>SUM(G461)</f>
        <v>327273.99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481647.79</v>
      </c>
      <c r="H642" s="104">
        <f>SUM(I461)</f>
        <v>481647.79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1438.24</v>
      </c>
      <c r="H644" s="104">
        <f>H408</f>
        <v>1438.24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1438.24</v>
      </c>
      <c r="H646" s="104">
        <f>L408</f>
        <v>1438.24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2603569.3099999996</v>
      </c>
      <c r="H647" s="104">
        <f>L208+L226+L244</f>
        <v>2603569.31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327987.31</v>
      </c>
      <c r="H648" s="104">
        <f>(J257+J338)-(J255+J336)</f>
        <v>327987.31000000006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1247943.1100000001</v>
      </c>
      <c r="H649" s="104">
        <f>H598</f>
        <v>1247943.1100000001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464249.80000000005</v>
      </c>
      <c r="H650" s="104">
        <f>I598</f>
        <v>464249.80000000005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891376.4</v>
      </c>
      <c r="H651" s="104">
        <f>J598</f>
        <v>891376.39999999991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3088.42</v>
      </c>
      <c r="H652" s="104">
        <f>K263+K345</f>
        <v>3088.42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28574438.670000002</v>
      </c>
      <c r="G660" s="19">
        <f>(L229+L309+L359)</f>
        <v>9764682.4399999995</v>
      </c>
      <c r="H660" s="19">
        <f>(L247+L328+L360)</f>
        <v>17545819.000000004</v>
      </c>
      <c r="I660" s="19">
        <f>SUM(F660:H660)</f>
        <v>55884940.109999999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630289.54610529973</v>
      </c>
      <c r="G661" s="19">
        <f>(L359/IF(SUM(L358:L360)=0,1,SUM(L358:L360))*(SUM(G97:G110)))</f>
        <v>301513.67709166167</v>
      </c>
      <c r="H661" s="19">
        <f>(L360/IF(SUM(L358:L360)=0,1,SUM(L358:L360))*(SUM(G97:G110)))</f>
        <v>481161.84680303844</v>
      </c>
      <c r="I661" s="19">
        <f>SUM(F661:H661)</f>
        <v>1412965.0699999998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1247943.1100000001</v>
      </c>
      <c r="G662" s="19">
        <f>(L226+L306)-(J226+J306)</f>
        <v>464249.80000000005</v>
      </c>
      <c r="H662" s="19">
        <f>(L244+L325)-(J244+J325)</f>
        <v>891376.4</v>
      </c>
      <c r="I662" s="19">
        <f>SUM(F662:H662)</f>
        <v>2603569.31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357853.25</v>
      </c>
      <c r="G663" s="199">
        <f>SUM(G575:G587)+SUM(I602:I604)+L612</f>
        <v>241353.43</v>
      </c>
      <c r="H663" s="199">
        <f>SUM(H575:H587)+SUM(J602:J604)+L613</f>
        <v>893366.2300000001</v>
      </c>
      <c r="I663" s="19">
        <f>SUM(F663:H663)</f>
        <v>1492572.9100000001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26338352.763894703</v>
      </c>
      <c r="G664" s="19">
        <f>G660-SUM(G661:G663)</f>
        <v>8757565.5329083372</v>
      </c>
      <c r="H664" s="19">
        <f>H660-SUM(H661:H663)</f>
        <v>15279914.523196965</v>
      </c>
      <c r="I664" s="19">
        <f>I660-SUM(I661:I663)</f>
        <v>50375832.82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2106.15</v>
      </c>
      <c r="G665" s="248">
        <v>774</v>
      </c>
      <c r="H665" s="248">
        <v>1403.7</v>
      </c>
      <c r="I665" s="19">
        <f>SUM(F665:H665)</f>
        <v>4283.8500000000004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12505.45</v>
      </c>
      <c r="G667" s="19">
        <f>ROUND(G664/G665,2)</f>
        <v>11314.68</v>
      </c>
      <c r="H667" s="19">
        <f>ROUND(H664/H665,2)</f>
        <v>10885.46</v>
      </c>
      <c r="I667" s="19">
        <f>ROUND(I664/I665,2)</f>
        <v>11759.48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-18.09</v>
      </c>
      <c r="I670" s="19">
        <f>SUM(F670:H670)</f>
        <v>-18.09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12505.45</v>
      </c>
      <c r="G672" s="19">
        <f>ROUND((G664+G669)/(G665+G670),2)</f>
        <v>11314.68</v>
      </c>
      <c r="H672" s="19">
        <f>ROUND((H664+H669)/(H665+H670),2)</f>
        <v>11027.57</v>
      </c>
      <c r="I672" s="19">
        <f>ROUND((I664+I669)/(I665+I670),2)</f>
        <v>11809.35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46" sqref="C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Bedford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15837693.820000002</v>
      </c>
      <c r="C9" s="229">
        <f>'DOE25'!G197+'DOE25'!G215+'DOE25'!G233+'DOE25'!G276+'DOE25'!G295+'DOE25'!G314</f>
        <v>7827875.4899999993</v>
      </c>
    </row>
    <row r="10" spans="1:3" x14ac:dyDescent="0.2">
      <c r="A10" t="s">
        <v>779</v>
      </c>
      <c r="B10" s="240">
        <v>14780013</v>
      </c>
      <c r="C10" s="240">
        <v>7341732.7800000003</v>
      </c>
    </row>
    <row r="11" spans="1:3" x14ac:dyDescent="0.2">
      <c r="A11" t="s">
        <v>780</v>
      </c>
      <c r="B11" s="240">
        <v>499718.07</v>
      </c>
      <c r="C11" s="240">
        <v>208231.6</v>
      </c>
    </row>
    <row r="12" spans="1:3" x14ac:dyDescent="0.2">
      <c r="A12" t="s">
        <v>781</v>
      </c>
      <c r="B12" s="240">
        <v>557962.75</v>
      </c>
      <c r="C12" s="240">
        <v>277911.11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15837693.82</v>
      </c>
      <c r="C13" s="231">
        <f>SUM(C10:C12)</f>
        <v>7827875.4900000002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5652648.4299999997</v>
      </c>
      <c r="C18" s="229">
        <f>'DOE25'!G198+'DOE25'!G216+'DOE25'!G234+'DOE25'!G277+'DOE25'!G296+'DOE25'!G315</f>
        <v>2635834.85</v>
      </c>
    </row>
    <row r="19" spans="1:3" x14ac:dyDescent="0.2">
      <c r="A19" t="s">
        <v>779</v>
      </c>
      <c r="B19" s="240">
        <v>3505479.91</v>
      </c>
      <c r="C19" s="240">
        <v>1638771.89</v>
      </c>
    </row>
    <row r="20" spans="1:3" x14ac:dyDescent="0.2">
      <c r="A20" t="s">
        <v>780</v>
      </c>
      <c r="B20" s="240">
        <v>2099962.52</v>
      </c>
      <c r="C20" s="240">
        <v>973550.51</v>
      </c>
    </row>
    <row r="21" spans="1:3" x14ac:dyDescent="0.2">
      <c r="A21" t="s">
        <v>781</v>
      </c>
      <c r="B21" s="240">
        <v>47206</v>
      </c>
      <c r="C21" s="240">
        <v>23512.45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5652648.4299999997</v>
      </c>
      <c r="C22" s="231">
        <f>SUM(C19:C21)</f>
        <v>2635834.85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601660.61</v>
      </c>
      <c r="C36" s="235">
        <f>'DOE25'!G200+'DOE25'!G218+'DOE25'!G236+'DOE25'!G279+'DOE25'!G298+'DOE25'!G317</f>
        <v>299676.23</v>
      </c>
    </row>
    <row r="37" spans="1:3" x14ac:dyDescent="0.2">
      <c r="A37" t="s">
        <v>779</v>
      </c>
      <c r="B37" s="240">
        <v>509158.61</v>
      </c>
      <c r="C37" s="240">
        <v>253602.66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92502</v>
      </c>
      <c r="C39" s="240">
        <v>46073.57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601660.61</v>
      </c>
      <c r="C40" s="231">
        <f>SUM(C37:C39)</f>
        <v>299676.23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37" sqref="F3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Bedford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34700004.560000002</v>
      </c>
      <c r="D5" s="20">
        <f>SUM('DOE25'!L197:L200)+SUM('DOE25'!L215:L218)+SUM('DOE25'!L233:L236)-F5-G5</f>
        <v>34562958.390000008</v>
      </c>
      <c r="E5" s="243"/>
      <c r="F5" s="255">
        <f>SUM('DOE25'!J197:J200)+SUM('DOE25'!J215:J218)+SUM('DOE25'!J233:J236)</f>
        <v>69563.98000000001</v>
      </c>
      <c r="G5" s="53">
        <f>SUM('DOE25'!K197:K200)+SUM('DOE25'!K215:K218)+SUM('DOE25'!K233:K236)</f>
        <v>67482.19</v>
      </c>
      <c r="H5" s="259"/>
    </row>
    <row r="6" spans="1:9" x14ac:dyDescent="0.2">
      <c r="A6" s="32">
        <v>2100</v>
      </c>
      <c r="B6" t="s">
        <v>801</v>
      </c>
      <c r="C6" s="245">
        <f t="shared" si="0"/>
        <v>4112736.98</v>
      </c>
      <c r="D6" s="20">
        <f>'DOE25'!L202+'DOE25'!L220+'DOE25'!L238-F6-G6</f>
        <v>4082810.0300000003</v>
      </c>
      <c r="E6" s="243"/>
      <c r="F6" s="255">
        <f>'DOE25'!J202+'DOE25'!J220+'DOE25'!J238</f>
        <v>508.38</v>
      </c>
      <c r="G6" s="53">
        <f>'DOE25'!K202+'DOE25'!K220+'DOE25'!K238</f>
        <v>29418.57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1263378.51</v>
      </c>
      <c r="D7" s="20">
        <f>'DOE25'!L203+'DOE25'!L221+'DOE25'!L239-F7-G7</f>
        <v>1050005.1399999999</v>
      </c>
      <c r="E7" s="243"/>
      <c r="F7" s="255">
        <f>'DOE25'!J203+'DOE25'!J221+'DOE25'!J239</f>
        <v>183954.8</v>
      </c>
      <c r="G7" s="53">
        <f>'DOE25'!K203+'DOE25'!K221+'DOE25'!K239</f>
        <v>29418.57</v>
      </c>
      <c r="H7" s="259"/>
    </row>
    <row r="8" spans="1:9" x14ac:dyDescent="0.2">
      <c r="A8" s="32">
        <v>2300</v>
      </c>
      <c r="B8" t="s">
        <v>802</v>
      </c>
      <c r="C8" s="245">
        <f t="shared" si="0"/>
        <v>619292.82999999996</v>
      </c>
      <c r="D8" s="243"/>
      <c r="E8" s="20">
        <f>'DOE25'!L204+'DOE25'!L222+'DOE25'!L240-F8-G8-D9-D11</f>
        <v>574066.30999999994</v>
      </c>
      <c r="F8" s="255">
        <f>'DOE25'!J204+'DOE25'!J222+'DOE25'!J240</f>
        <v>25045.1</v>
      </c>
      <c r="G8" s="53">
        <f>'DOE25'!K204+'DOE25'!K222+'DOE25'!K240</f>
        <v>20181.419999999998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8992.9</v>
      </c>
      <c r="D9" s="244">
        <v>8992.9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18300</v>
      </c>
      <c r="D10" s="243"/>
      <c r="E10" s="244">
        <v>18300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565053.9</v>
      </c>
      <c r="D11" s="244">
        <v>565053.9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3703879.0600000005</v>
      </c>
      <c r="D12" s="20">
        <f>'DOE25'!L205+'DOE25'!L223+'DOE25'!L241-F12-G12</f>
        <v>3674260.2400000007</v>
      </c>
      <c r="E12" s="243"/>
      <c r="F12" s="255">
        <f>'DOE25'!J205+'DOE25'!J223+'DOE25'!J241</f>
        <v>1156.5</v>
      </c>
      <c r="G12" s="53">
        <f>'DOE25'!K205+'DOE25'!K223+'DOE25'!K241</f>
        <v>28462.32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504860.54</v>
      </c>
      <c r="D13" s="243"/>
      <c r="E13" s="20">
        <f>'DOE25'!L206+'DOE25'!L224+'DOE25'!L242-F13-G13</f>
        <v>504860.54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5122651.87</v>
      </c>
      <c r="D14" s="20">
        <f>'DOE25'!L207+'DOE25'!L225+'DOE25'!L243-F14-G14</f>
        <v>5106416.4800000004</v>
      </c>
      <c r="E14" s="243"/>
      <c r="F14" s="255">
        <f>'DOE25'!J207+'DOE25'!J225+'DOE25'!J243</f>
        <v>14888.89</v>
      </c>
      <c r="G14" s="53">
        <f>'DOE25'!K207+'DOE25'!K225+'DOE25'!K243</f>
        <v>1346.5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2603569.31</v>
      </c>
      <c r="D15" s="20">
        <f>'DOE25'!L208+'DOE25'!L226+'DOE25'!L244-F15-G15</f>
        <v>2603569.31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42861.380000000005</v>
      </c>
      <c r="D16" s="243"/>
      <c r="E16" s="20">
        <f>'DOE25'!L209+'DOE25'!L227+'DOE25'!L245-F16-G16</f>
        <v>42861.380000000005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21595.769999999997</v>
      </c>
      <c r="D17" s="20">
        <f>'DOE25'!L251-F17-G17</f>
        <v>21595.769999999997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4225088.75</v>
      </c>
      <c r="D25" s="243"/>
      <c r="E25" s="243"/>
      <c r="F25" s="258"/>
      <c r="G25" s="256"/>
      <c r="H25" s="257">
        <f>'DOE25'!L260+'DOE25'!L261+'DOE25'!L341+'DOE25'!L342</f>
        <v>4225088.75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753719.9600000002</v>
      </c>
      <c r="D29" s="20">
        <f>'DOE25'!L358+'DOE25'!L359+'DOE25'!L360-'DOE25'!I367-F29-G29</f>
        <v>704263.70000000019</v>
      </c>
      <c r="E29" s="243"/>
      <c r="F29" s="255">
        <f>'DOE25'!J358+'DOE25'!J359+'DOE25'!J360</f>
        <v>46972.76</v>
      </c>
      <c r="G29" s="53">
        <f>'DOE25'!K358+'DOE25'!K359+'DOE25'!K360</f>
        <v>2483.5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987958.45000000007</v>
      </c>
      <c r="D31" s="20">
        <f>'DOE25'!L290+'DOE25'!L309+'DOE25'!L328+'DOE25'!L333+'DOE25'!L334+'DOE25'!L335-F31-G31</f>
        <v>955088.79</v>
      </c>
      <c r="E31" s="243"/>
      <c r="F31" s="255">
        <f>'DOE25'!J290+'DOE25'!J309+'DOE25'!J328+'DOE25'!J333+'DOE25'!J334+'DOE25'!J335</f>
        <v>32869.660000000003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53335014.650000021</v>
      </c>
      <c r="E33" s="246">
        <f>SUM(E5:E31)</f>
        <v>1140088.23</v>
      </c>
      <c r="F33" s="246">
        <f>SUM(F5:F31)</f>
        <v>374960.07000000007</v>
      </c>
      <c r="G33" s="246">
        <f>SUM(G5:G31)</f>
        <v>178793.07</v>
      </c>
      <c r="H33" s="246">
        <f>SUM(H5:H31)</f>
        <v>4225088.75</v>
      </c>
    </row>
    <row r="35" spans="2:8" ht="12" thickBot="1" x14ac:dyDescent="0.25">
      <c r="B35" s="253" t="s">
        <v>847</v>
      </c>
      <c r="D35" s="254">
        <f>E33</f>
        <v>1140088.23</v>
      </c>
      <c r="E35" s="249"/>
    </row>
    <row r="36" spans="2:8" ht="12" thickTop="1" x14ac:dyDescent="0.2">
      <c r="B36" t="s">
        <v>815</v>
      </c>
      <c r="D36" s="20">
        <f>D33</f>
        <v>53335014.650000021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55" activePane="bottomLeft" state="frozen"/>
      <selection activeCell="F46" sqref="F46"/>
      <selection pane="bottomLeft" activeCell="K70" sqref="K7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Bedford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6017398.7999999998</v>
      </c>
      <c r="D8" s="95">
        <f>'DOE25'!G9</f>
        <v>497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315183.13</v>
      </c>
      <c r="E11" s="95">
        <f>'DOE25'!H12</f>
        <v>0</v>
      </c>
      <c r="F11" s="95">
        <f>'DOE25'!I12</f>
        <v>257767.49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59224.78</v>
      </c>
      <c r="D12" s="95">
        <f>'DOE25'!G13</f>
        <v>14944.72</v>
      </c>
      <c r="E12" s="95">
        <f>'DOE25'!H13</f>
        <v>132795.76</v>
      </c>
      <c r="F12" s="95">
        <f>'DOE25'!I13</f>
        <v>0</v>
      </c>
      <c r="G12" s="95">
        <f>'DOE25'!J13</f>
        <v>481647.79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79411.38</v>
      </c>
      <c r="D13" s="95">
        <f>'DOE25'!G14</f>
        <v>70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38790.9</v>
      </c>
      <c r="D16" s="95">
        <f>'DOE25'!G17</f>
        <v>1895.66</v>
      </c>
      <c r="E16" s="95">
        <f>'DOE25'!H17</f>
        <v>768.36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6194825.8600000003</v>
      </c>
      <c r="D18" s="41">
        <f>SUM(D8:D17)</f>
        <v>332590.50999999995</v>
      </c>
      <c r="E18" s="41">
        <f>SUM(E8:E17)</f>
        <v>133564.12</v>
      </c>
      <c r="F18" s="41">
        <f>SUM(F8:F17)</f>
        <v>257767.49</v>
      </c>
      <c r="G18" s="41">
        <f>SUM(G8:G17)</f>
        <v>481647.79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490423.59</v>
      </c>
      <c r="D21" s="95">
        <f>'DOE25'!G22</f>
        <v>0</v>
      </c>
      <c r="E21" s="95">
        <f>'DOE25'!H22</f>
        <v>82527.03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39591.75</v>
      </c>
      <c r="D23" s="95">
        <f>'DOE25'!G24</f>
        <v>1657.25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2632381.6</v>
      </c>
      <c r="D27" s="95">
        <f>'DOE25'!G28</f>
        <v>13172.07</v>
      </c>
      <c r="E27" s="95">
        <f>'DOE25'!H28</f>
        <v>42391.64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1767.07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52056.94</v>
      </c>
      <c r="D29" s="95">
        <f>'DOE25'!G30</f>
        <v>58067.54</v>
      </c>
      <c r="E29" s="95">
        <f>'DOE25'!H30</f>
        <v>8645.4500000000007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3216220.95</v>
      </c>
      <c r="D31" s="41">
        <f>SUM(D21:D30)</f>
        <v>72896.86</v>
      </c>
      <c r="E31" s="41">
        <f>SUM(E21:E30)</f>
        <v>133564.12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38790.9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259693.65</v>
      </c>
      <c r="E47" s="95">
        <f>'DOE25'!H48</f>
        <v>0</v>
      </c>
      <c r="F47" s="95">
        <f>'DOE25'!I48</f>
        <v>257767.49</v>
      </c>
      <c r="G47" s="95">
        <f>'DOE25'!J48</f>
        <v>481647.79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66980.160000000003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2872833.85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2978604.91</v>
      </c>
      <c r="D50" s="41">
        <f>SUM(D34:D49)</f>
        <v>259693.65</v>
      </c>
      <c r="E50" s="41">
        <f>SUM(E34:E49)</f>
        <v>0</v>
      </c>
      <c r="F50" s="41">
        <f>SUM(F34:F49)</f>
        <v>257767.49</v>
      </c>
      <c r="G50" s="41">
        <f>SUM(G34:G49)</f>
        <v>481647.79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6194825.8600000003</v>
      </c>
      <c r="D51" s="41">
        <f>D50+D31</f>
        <v>332590.51</v>
      </c>
      <c r="E51" s="41">
        <f>E50+E31</f>
        <v>133564.12</v>
      </c>
      <c r="F51" s="41">
        <f>F50+F31</f>
        <v>257767.49</v>
      </c>
      <c r="G51" s="41">
        <f>G50+G31</f>
        <v>481647.79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42925630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252022.85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364.53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1438.24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1412965.07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434017.71</v>
      </c>
      <c r="D61" s="95">
        <f>SUM('DOE25'!G98:G110)</f>
        <v>0</v>
      </c>
      <c r="E61" s="95">
        <f>SUM('DOE25'!H98:H110)</f>
        <v>10923.75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686405.09000000008</v>
      </c>
      <c r="D62" s="130">
        <f>SUM(D57:D61)</f>
        <v>1412965.07</v>
      </c>
      <c r="E62" s="130">
        <f>SUM(E57:E61)</f>
        <v>10923.75</v>
      </c>
      <c r="F62" s="130">
        <f>SUM(F57:F61)</f>
        <v>0</v>
      </c>
      <c r="G62" s="130">
        <f>SUM(G57:G61)</f>
        <v>1438.24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43612035.090000004</v>
      </c>
      <c r="D63" s="22">
        <f>D56+D62</f>
        <v>1412965.07</v>
      </c>
      <c r="E63" s="22">
        <f>E56+E62</f>
        <v>10923.75</v>
      </c>
      <c r="F63" s="22">
        <f>F56+F62</f>
        <v>0</v>
      </c>
      <c r="G63" s="22">
        <f>G56+G62</f>
        <v>1438.24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3738676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8130973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25000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11869649</v>
      </c>
      <c r="D70" s="139">
        <f>D69</f>
        <v>0</v>
      </c>
      <c r="E70" s="139">
        <f>E69</f>
        <v>25000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982453.66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582031.53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12026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20495.86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1576511.19</v>
      </c>
      <c r="D78" s="130">
        <f>SUM(D72:D77)</f>
        <v>20495.86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13446160.189999999</v>
      </c>
      <c r="D81" s="130">
        <f>SUM(D79:D80)+D78+D70</f>
        <v>20495.86</v>
      </c>
      <c r="E81" s="130">
        <f>SUM(E79:E80)+E78+E70</f>
        <v>25000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442587.91</v>
      </c>
      <c r="D88" s="95">
        <f>SUM('DOE25'!G153:G161)</f>
        <v>213970.69</v>
      </c>
      <c r="E88" s="95">
        <f>SUM('DOE25'!H153:H161)</f>
        <v>951464.14999999991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570.54999999999995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442587.91</v>
      </c>
      <c r="D91" s="131">
        <f>SUM(D85:D90)</f>
        <v>213970.69</v>
      </c>
      <c r="E91" s="131">
        <f>SUM(E85:E90)</f>
        <v>952034.7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3088.42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350000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350000</v>
      </c>
      <c r="D103" s="86">
        <f>SUM(D93:D102)</f>
        <v>3088.42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57850783.189999998</v>
      </c>
      <c r="D104" s="86">
        <f>D63+D81+D91+D103</f>
        <v>1650520.04</v>
      </c>
      <c r="E104" s="86">
        <f>E63+E81+E91+E103</f>
        <v>987958.45</v>
      </c>
      <c r="F104" s="86">
        <f>F63+F81+F91+F103</f>
        <v>0</v>
      </c>
      <c r="G104" s="86">
        <f>G63+G81+G103</f>
        <v>1438.24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24529519.560000002</v>
      </c>
      <c r="D109" s="24" t="s">
        <v>289</v>
      </c>
      <c r="E109" s="95">
        <f>('DOE25'!L276)+('DOE25'!L295)+('DOE25'!L314)</f>
        <v>179982.58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9051621.1499999985</v>
      </c>
      <c r="D110" s="24" t="s">
        <v>289</v>
      </c>
      <c r="E110" s="95">
        <f>('DOE25'!L277)+('DOE25'!L296)+('DOE25'!L315)</f>
        <v>528456.85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23436.55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1095427.3</v>
      </c>
      <c r="D112" s="24" t="s">
        <v>289</v>
      </c>
      <c r="E112" s="95">
        <f>+('DOE25'!L279)+('DOE25'!L298)+('DOE25'!L317)</f>
        <v>893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21595.769999999997</v>
      </c>
      <c r="D114" s="24" t="s">
        <v>289</v>
      </c>
      <c r="E114" s="95">
        <f>+ SUM('DOE25'!L333:L335)</f>
        <v>5964.63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34721600.329999998</v>
      </c>
      <c r="D115" s="86">
        <f>SUM(D109:D114)</f>
        <v>0</v>
      </c>
      <c r="E115" s="86">
        <f>SUM(E109:E114)</f>
        <v>715297.05999999994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4112736.98</v>
      </c>
      <c r="D118" s="24" t="s">
        <v>289</v>
      </c>
      <c r="E118" s="95">
        <f>+('DOE25'!L281)+('DOE25'!L300)+('DOE25'!L319)</f>
        <v>238886.84000000003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1263378.51</v>
      </c>
      <c r="D119" s="24" t="s">
        <v>289</v>
      </c>
      <c r="E119" s="95">
        <f>+('DOE25'!L282)+('DOE25'!L301)+('DOE25'!L320)</f>
        <v>29412.55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1193339.6299999999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3703879.0600000005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504860.54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5122651.87</v>
      </c>
      <c r="D123" s="24" t="s">
        <v>289</v>
      </c>
      <c r="E123" s="95">
        <f>+('DOE25'!L286)+('DOE25'!L305)+('DOE25'!L324)</f>
        <v>3132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2603569.31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42861.380000000005</v>
      </c>
      <c r="D125" s="24" t="s">
        <v>289</v>
      </c>
      <c r="E125" s="95">
        <f>+('DOE25'!L288)+('DOE25'!L307)+('DOE25'!L326)</f>
        <v>1230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1655664.4500000002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18547277.279999997</v>
      </c>
      <c r="D128" s="86">
        <f>SUM(D118:D127)</f>
        <v>1655664.4500000002</v>
      </c>
      <c r="E128" s="86">
        <f>SUM(E118:E127)</f>
        <v>272661.39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2971068.23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1254020.52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350000</v>
      </c>
    </row>
    <row r="135" spans="1:7" x14ac:dyDescent="0.2">
      <c r="A135" t="s">
        <v>233</v>
      </c>
      <c r="B135" s="32" t="s">
        <v>234</v>
      </c>
      <c r="C135" s="95">
        <f>'DOE25'!L263</f>
        <v>3088.42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1438.24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-1438.24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4228177.17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350000</v>
      </c>
    </row>
    <row r="145" spans="1:9" ht="12.75" thickTop="1" thickBot="1" x14ac:dyDescent="0.25">
      <c r="A145" s="33" t="s">
        <v>244</v>
      </c>
      <c r="C145" s="86">
        <f>(C115+C128+C144)</f>
        <v>57497054.780000001</v>
      </c>
      <c r="D145" s="86">
        <f>(D115+D128+D144)</f>
        <v>1655664.4500000002</v>
      </c>
      <c r="E145" s="86">
        <f>(E115+E128+E144)</f>
        <v>987958.45</v>
      </c>
      <c r="F145" s="86">
        <f>(F115+F128+F144)</f>
        <v>0</v>
      </c>
      <c r="G145" s="86">
        <f>(G115+G128+G144)</f>
        <v>350000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24</v>
      </c>
      <c r="D151" s="153">
        <f>'DOE25'!H490</f>
        <v>20</v>
      </c>
      <c r="E151" s="153">
        <f>'DOE25'!I490</f>
        <v>10</v>
      </c>
      <c r="F151" s="153">
        <f>'DOE25'!J490</f>
        <v>5</v>
      </c>
      <c r="G151" s="24" t="s">
        <v>289</v>
      </c>
    </row>
    <row r="152" spans="1:9" x14ac:dyDescent="0.2">
      <c r="A152" s="136" t="s">
        <v>28</v>
      </c>
      <c r="B152" s="152" t="str">
        <f>'DOE25'!F491</f>
        <v>8/08</v>
      </c>
      <c r="C152" s="152" t="str">
        <f>'DOE25'!G491</f>
        <v>7/05</v>
      </c>
      <c r="D152" s="152" t="str">
        <f>'DOE25'!H491</f>
        <v>6/06</v>
      </c>
      <c r="E152" s="152" t="str">
        <f>'DOE25'!I491</f>
        <v>8/07</v>
      </c>
      <c r="F152" s="152" t="str">
        <f>'DOE25'!J491</f>
        <v>1/14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8/15</v>
      </c>
      <c r="C153" s="152" t="str">
        <f>'DOE25'!G492</f>
        <v>7/29</v>
      </c>
      <c r="D153" s="152" t="str">
        <f>'DOE25'!H492</f>
        <v>7/26</v>
      </c>
      <c r="E153" s="152" t="str">
        <f>'DOE25'!I492</f>
        <v>8/17</v>
      </c>
      <c r="F153" s="152" t="str">
        <f>'DOE25'!J492</f>
        <v>8/18</v>
      </c>
      <c r="G153" s="24" t="s">
        <v>289</v>
      </c>
    </row>
    <row r="154" spans="1:9" x14ac:dyDescent="0.2">
      <c r="A154" s="136" t="s">
        <v>30</v>
      </c>
      <c r="B154" s="137">
        <f>'DOE25'!F493</f>
        <v>3935000</v>
      </c>
      <c r="C154" s="137">
        <f>'DOE25'!G493</f>
        <v>47505000</v>
      </c>
      <c r="D154" s="137">
        <f>'DOE25'!H493</f>
        <v>800000</v>
      </c>
      <c r="E154" s="137">
        <f>'DOE25'!I493</f>
        <v>2681350</v>
      </c>
      <c r="F154" s="137">
        <f>'DOE25'!J493</f>
        <v>320653</v>
      </c>
      <c r="G154" s="24" t="s">
        <v>289</v>
      </c>
    </row>
    <row r="155" spans="1:9" x14ac:dyDescent="0.2">
      <c r="A155" s="136" t="s">
        <v>31</v>
      </c>
      <c r="B155" s="137">
        <f>'DOE25'!F494</f>
        <v>3.34</v>
      </c>
      <c r="C155" s="137">
        <f>'DOE25'!G494</f>
        <v>4.34</v>
      </c>
      <c r="D155" s="137">
        <f>'DOE25'!H494</f>
        <v>4.5199999999999996</v>
      </c>
      <c r="E155" s="137">
        <f>'DOE25'!I494</f>
        <v>4.28</v>
      </c>
      <c r="F155" s="137">
        <f>'DOE25'!J494</f>
        <v>2.68</v>
      </c>
      <c r="G155" s="24" t="s">
        <v>289</v>
      </c>
    </row>
    <row r="156" spans="1:9" x14ac:dyDescent="0.2">
      <c r="A156" s="22" t="s">
        <v>32</v>
      </c>
      <c r="B156" s="137">
        <f>'DOE25'!F495</f>
        <v>2325000</v>
      </c>
      <c r="C156" s="137">
        <f>'DOE25'!G495</f>
        <v>27142735</v>
      </c>
      <c r="D156" s="137">
        <f>'DOE25'!H495</f>
        <v>560000</v>
      </c>
      <c r="E156" s="137">
        <f>'DOE25'!I495</f>
        <v>1335000</v>
      </c>
      <c r="F156" s="137">
        <f>'DOE25'!J495</f>
        <v>0</v>
      </c>
      <c r="G156" s="138">
        <f>SUM(B156:F156)</f>
        <v>31362735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320653</v>
      </c>
      <c r="G157" s="138">
        <f t="shared" ref="G157:G164" si="0">SUM(B157:F157)</f>
        <v>320653</v>
      </c>
    </row>
    <row r="158" spans="1:9" x14ac:dyDescent="0.2">
      <c r="A158" s="22" t="s">
        <v>34</v>
      </c>
      <c r="B158" s="137">
        <f>'DOE25'!F497</f>
        <v>390000</v>
      </c>
      <c r="C158" s="137">
        <f>'DOE25'!G497</f>
        <v>2271068</v>
      </c>
      <c r="D158" s="137">
        <f>'DOE25'!H497</f>
        <v>40000</v>
      </c>
      <c r="E158" s="137">
        <f>'DOE25'!I497</f>
        <v>270000</v>
      </c>
      <c r="F158" s="137">
        <f>'DOE25'!J497</f>
        <v>0</v>
      </c>
      <c r="G158" s="138">
        <f t="shared" si="0"/>
        <v>2971068</v>
      </c>
    </row>
    <row r="159" spans="1:9" x14ac:dyDescent="0.2">
      <c r="A159" s="22" t="s">
        <v>35</v>
      </c>
      <c r="B159" s="137">
        <f>'DOE25'!F498</f>
        <v>1935000</v>
      </c>
      <c r="C159" s="137">
        <f>'DOE25'!G498</f>
        <v>24871667</v>
      </c>
      <c r="D159" s="137">
        <f>'DOE25'!H498</f>
        <v>520000</v>
      </c>
      <c r="E159" s="137">
        <f>'DOE25'!I498</f>
        <v>1065000</v>
      </c>
      <c r="F159" s="137">
        <f>'DOE25'!J498</f>
        <v>320653</v>
      </c>
      <c r="G159" s="138">
        <f t="shared" si="0"/>
        <v>28712320</v>
      </c>
    </row>
    <row r="160" spans="1:9" x14ac:dyDescent="0.2">
      <c r="A160" s="22" t="s">
        <v>36</v>
      </c>
      <c r="B160" s="137">
        <f>'DOE25'!F499</f>
        <v>213656</v>
      </c>
      <c r="C160" s="137">
        <f>'DOE25'!G499</f>
        <v>28626071</v>
      </c>
      <c r="D160" s="137">
        <f>'DOE25'!H499</f>
        <v>153485</v>
      </c>
      <c r="E160" s="137">
        <f>'DOE25'!I499</f>
        <v>105111</v>
      </c>
      <c r="F160" s="137">
        <f>'DOE25'!J499</f>
        <v>22512</v>
      </c>
      <c r="G160" s="138">
        <f t="shared" si="0"/>
        <v>29120835</v>
      </c>
    </row>
    <row r="161" spans="1:7" x14ac:dyDescent="0.2">
      <c r="A161" s="22" t="s">
        <v>37</v>
      </c>
      <c r="B161" s="137">
        <f>'DOE25'!F500</f>
        <v>2148656</v>
      </c>
      <c r="C161" s="137">
        <f>'DOE25'!G500</f>
        <v>53497738</v>
      </c>
      <c r="D161" s="137">
        <f>'DOE25'!H500</f>
        <v>673485</v>
      </c>
      <c r="E161" s="137">
        <f>'DOE25'!I500</f>
        <v>1170111</v>
      </c>
      <c r="F161" s="137">
        <f>'DOE25'!J500</f>
        <v>343165</v>
      </c>
      <c r="G161" s="138">
        <f t="shared" si="0"/>
        <v>57833155</v>
      </c>
    </row>
    <row r="162" spans="1:7" x14ac:dyDescent="0.2">
      <c r="A162" s="22" t="s">
        <v>38</v>
      </c>
      <c r="B162" s="137">
        <f>'DOE25'!F501</f>
        <v>390000</v>
      </c>
      <c r="C162" s="137">
        <f>'DOE25'!G501</f>
        <v>2165303</v>
      </c>
      <c r="D162" s="137">
        <f>'DOE25'!H501</f>
        <v>40000</v>
      </c>
      <c r="E162" s="137">
        <f>'DOE25'!I501</f>
        <v>270000</v>
      </c>
      <c r="F162" s="137">
        <f>'DOE25'!J501</f>
        <v>63572</v>
      </c>
      <c r="G162" s="138">
        <f t="shared" si="0"/>
        <v>2928875</v>
      </c>
    </row>
    <row r="163" spans="1:7" x14ac:dyDescent="0.2">
      <c r="A163" s="22" t="s">
        <v>39</v>
      </c>
      <c r="B163" s="137">
        <f>'DOE25'!F502</f>
        <v>79938</v>
      </c>
      <c r="C163" s="137">
        <f>'DOE25'!G502</f>
        <v>1178387</v>
      </c>
      <c r="D163" s="137">
        <f>'DOE25'!H502</f>
        <v>22470</v>
      </c>
      <c r="E163" s="137">
        <f>'DOE25'!I502</f>
        <v>45488</v>
      </c>
      <c r="F163" s="137">
        <f>'DOE25'!J502</f>
        <v>5061</v>
      </c>
      <c r="G163" s="138">
        <f t="shared" si="0"/>
        <v>1331344</v>
      </c>
    </row>
    <row r="164" spans="1:7" x14ac:dyDescent="0.2">
      <c r="A164" s="22" t="s">
        <v>246</v>
      </c>
      <c r="B164" s="137">
        <f>'DOE25'!F503</f>
        <v>469938</v>
      </c>
      <c r="C164" s="137">
        <f>'DOE25'!G503</f>
        <v>3343690</v>
      </c>
      <c r="D164" s="137">
        <f>'DOE25'!H503</f>
        <v>62470</v>
      </c>
      <c r="E164" s="137">
        <f>'DOE25'!I503</f>
        <v>315488</v>
      </c>
      <c r="F164" s="137">
        <f>'DOE25'!J503</f>
        <v>68633</v>
      </c>
      <c r="G164" s="138">
        <f t="shared" si="0"/>
        <v>4260219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G38" sqref="G3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Bedford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12505</v>
      </c>
    </row>
    <row r="5" spans="1:4" x14ac:dyDescent="0.2">
      <c r="B5" t="s">
        <v>704</v>
      </c>
      <c r="C5" s="179">
        <f>IF('DOE25'!G665+'DOE25'!G670=0,0,ROUND('DOE25'!G672,0))</f>
        <v>11315</v>
      </c>
    </row>
    <row r="6" spans="1:4" x14ac:dyDescent="0.2">
      <c r="B6" t="s">
        <v>62</v>
      </c>
      <c r="C6" s="179">
        <f>IF('DOE25'!H665+'DOE25'!H670=0,0,ROUND('DOE25'!H672,0))</f>
        <v>11028</v>
      </c>
    </row>
    <row r="7" spans="1:4" x14ac:dyDescent="0.2">
      <c r="B7" t="s">
        <v>705</v>
      </c>
      <c r="C7" s="179">
        <f>IF('DOE25'!I665+'DOE25'!I670=0,0,ROUND('DOE25'!I672,0))</f>
        <v>11809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24709502</v>
      </c>
      <c r="D10" s="182">
        <f>ROUND((C10/$C$28)*100,1)</f>
        <v>44.3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9580078</v>
      </c>
      <c r="D11" s="182">
        <f>ROUND((C11/$C$28)*100,1)</f>
        <v>17.2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23437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1096320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4351624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1292791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1237431</v>
      </c>
      <c r="D17" s="182">
        <f t="shared" si="0"/>
        <v>2.2000000000000002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3703879</v>
      </c>
      <c r="D18" s="182">
        <f t="shared" si="0"/>
        <v>6.6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504861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5125784</v>
      </c>
      <c r="D20" s="182">
        <f t="shared" si="0"/>
        <v>9.1999999999999993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2603569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27560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1254021</v>
      </c>
      <c r="D25" s="182">
        <f t="shared" si="0"/>
        <v>2.2000000000000002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242698.92999999993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55753555.93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55753555.93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2971068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42925630</v>
      </c>
      <c r="D35" s="182">
        <f t="shared" ref="D35:D40" si="1">ROUND((C35/$C$41)*100,1)</f>
        <v>73.099999999999994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698767.08000000566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11869649</v>
      </c>
      <c r="D37" s="182">
        <f t="shared" si="1"/>
        <v>20.2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1622007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1608593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58724646.080000006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Bedford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2014-09-04T13:12:53Z</cp:lastPrinted>
  <dcterms:created xsi:type="dcterms:W3CDTF">1997-12-04T19:04:30Z</dcterms:created>
  <dcterms:modified xsi:type="dcterms:W3CDTF">2014-12-05T15:56:12Z</dcterms:modified>
</cp:coreProperties>
</file>