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750" windowWidth="12735" windowHeight="57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H200" i="1"/>
  <c r="F200" i="1"/>
  <c r="C39" i="12"/>
  <c r="C38" i="12"/>
  <c r="C29" i="12"/>
  <c r="C21" i="12"/>
  <c r="C20" i="12"/>
  <c r="C12" i="12"/>
  <c r="C11" i="12"/>
  <c r="B39" i="12"/>
  <c r="B21" i="12"/>
  <c r="B12" i="12"/>
  <c r="B38" i="12"/>
  <c r="B29" i="12"/>
  <c r="B20" i="12"/>
  <c r="B11" i="12"/>
  <c r="C37" i="12"/>
  <c r="C28" i="12"/>
  <c r="C10" i="12"/>
  <c r="B37" i="12"/>
  <c r="B28" i="12"/>
  <c r="B19" i="12"/>
  <c r="B10" i="12" l="1"/>
  <c r="H243" i="1" l="1"/>
  <c r="H242" i="1"/>
  <c r="H236" i="1"/>
  <c r="H225" i="1"/>
  <c r="H224" i="1"/>
  <c r="H218" i="1"/>
  <c r="H207" i="1"/>
  <c r="H206" i="1"/>
  <c r="I597" i="1"/>
  <c r="H597" i="1"/>
  <c r="J595" i="1"/>
  <c r="I595" i="1"/>
  <c r="H595" i="1"/>
  <c r="J594" i="1"/>
  <c r="I594" i="1"/>
  <c r="H594" i="1"/>
  <c r="J592" i="1"/>
  <c r="H592" i="1"/>
  <c r="I592" i="1"/>
  <c r="J591" i="1"/>
  <c r="I591" i="1"/>
  <c r="H591" i="1"/>
  <c r="F240" i="1" l="1"/>
  <c r="F233" i="1"/>
  <c r="F222" i="1"/>
  <c r="F215" i="1"/>
  <c r="F204" i="1"/>
  <c r="F197" i="1"/>
  <c r="F205" i="1"/>
  <c r="F202" i="1"/>
  <c r="F216" i="1"/>
  <c r="F235" i="1"/>
  <c r="J604" i="1" l="1"/>
  <c r="I604" i="1"/>
  <c r="F557" i="1" l="1"/>
  <c r="G557" i="1"/>
  <c r="I557" i="1"/>
  <c r="K557" i="1"/>
  <c r="H559" i="1"/>
  <c r="G582" i="1"/>
  <c r="F582" i="1"/>
  <c r="H579" i="1"/>
  <c r="F498" i="1" l="1"/>
  <c r="G526" i="1" l="1"/>
  <c r="F526" i="1"/>
  <c r="J521" i="1" l="1"/>
  <c r="G528" i="1"/>
  <c r="G527" i="1"/>
  <c r="F528" i="1"/>
  <c r="F527" i="1"/>
  <c r="H528" i="1"/>
  <c r="H527" i="1"/>
  <c r="H526" i="1"/>
  <c r="G523" i="1"/>
  <c r="G522" i="1"/>
  <c r="G521" i="1"/>
  <c r="F523" i="1"/>
  <c r="F522" i="1"/>
  <c r="F521" i="1"/>
  <c r="G543" i="1"/>
  <c r="F543" i="1"/>
  <c r="I528" i="1"/>
  <c r="I523" i="1"/>
  <c r="H523" i="1"/>
  <c r="I522" i="1"/>
  <c r="H522" i="1"/>
  <c r="I521" i="1"/>
  <c r="H521" i="1"/>
  <c r="G541" i="1"/>
  <c r="F542" i="1"/>
  <c r="F541" i="1"/>
  <c r="G542" i="1"/>
  <c r="K533" i="1"/>
  <c r="K532" i="1"/>
  <c r="K531" i="1"/>
  <c r="I533" i="1"/>
  <c r="I532" i="1"/>
  <c r="I531" i="1"/>
  <c r="H533" i="1"/>
  <c r="H532" i="1"/>
  <c r="H531" i="1"/>
  <c r="G533" i="1"/>
  <c r="G532" i="1"/>
  <c r="G531" i="1"/>
  <c r="F533" i="1"/>
  <c r="F532" i="1"/>
  <c r="F531" i="1"/>
  <c r="I527" i="1"/>
  <c r="I526" i="1"/>
  <c r="G9" i="1" l="1"/>
  <c r="J360" i="1"/>
  <c r="J359" i="1"/>
  <c r="J358" i="1"/>
  <c r="J197" i="1"/>
  <c r="G358" i="1" l="1"/>
  <c r="F358" i="1"/>
  <c r="I358" i="1"/>
  <c r="H359" i="1"/>
  <c r="H358" i="1"/>
  <c r="G360" i="1"/>
  <c r="G359" i="1"/>
  <c r="F360" i="1"/>
  <c r="F359" i="1"/>
  <c r="H320" i="1"/>
  <c r="I319" i="1"/>
  <c r="H319" i="1"/>
  <c r="J317" i="1"/>
  <c r="K316" i="1"/>
  <c r="J316" i="1"/>
  <c r="I316" i="1"/>
  <c r="H316" i="1"/>
  <c r="J233" i="1"/>
  <c r="G314" i="1"/>
  <c r="F314" i="1"/>
  <c r="H301" i="1"/>
  <c r="J215" i="1"/>
  <c r="G295" i="1"/>
  <c r="F295" i="1"/>
  <c r="G281" i="1"/>
  <c r="F281" i="1"/>
  <c r="H282" i="1"/>
  <c r="J279" i="1"/>
  <c r="K277" i="1"/>
  <c r="I277" i="1"/>
  <c r="G277" i="1"/>
  <c r="F277" i="1"/>
  <c r="J198" i="1"/>
  <c r="J276" i="1"/>
  <c r="I276" i="1"/>
  <c r="H276" i="1"/>
  <c r="G276" i="1"/>
  <c r="F276" i="1"/>
  <c r="G319" i="1" l="1"/>
  <c r="F319" i="1"/>
  <c r="G315" i="1"/>
  <c r="F315" i="1"/>
  <c r="H306" i="1"/>
  <c r="G300" i="1"/>
  <c r="F300" i="1"/>
  <c r="H300" i="1"/>
  <c r="I298" i="1"/>
  <c r="H298" i="1"/>
  <c r="G298" i="1"/>
  <c r="F298" i="1"/>
  <c r="G296" i="1"/>
  <c r="F296" i="1"/>
  <c r="J295" i="1"/>
  <c r="I295" i="1"/>
  <c r="H295" i="1"/>
  <c r="H287" i="1"/>
  <c r="H281" i="1"/>
  <c r="I279" i="1"/>
  <c r="H279" i="1"/>
  <c r="G279" i="1"/>
  <c r="F279" i="1"/>
  <c r="G244" i="1" l="1"/>
  <c r="F244" i="1"/>
  <c r="I243" i="1"/>
  <c r="G243" i="1"/>
  <c r="F243" i="1"/>
  <c r="K241" i="1"/>
  <c r="J241" i="1"/>
  <c r="I241" i="1"/>
  <c r="H241" i="1"/>
  <c r="G241" i="1"/>
  <c r="K240" i="1"/>
  <c r="H240" i="1"/>
  <c r="G240" i="1"/>
  <c r="J239" i="1"/>
  <c r="I239" i="1"/>
  <c r="H239" i="1"/>
  <c r="G239" i="1"/>
  <c r="F239" i="1"/>
  <c r="I238" i="1"/>
  <c r="H238" i="1"/>
  <c r="G238" i="1"/>
  <c r="F238" i="1"/>
  <c r="K238" i="1"/>
  <c r="J238" i="1"/>
  <c r="K236" i="1"/>
  <c r="J236" i="1"/>
  <c r="I236" i="1"/>
  <c r="G236" i="1"/>
  <c r="F236" i="1"/>
  <c r="J235" i="1"/>
  <c r="I235" i="1"/>
  <c r="H235" i="1"/>
  <c r="G235" i="1"/>
  <c r="H234" i="1"/>
  <c r="I234" i="1"/>
  <c r="G234" i="1"/>
  <c r="F234" i="1"/>
  <c r="K233" i="1"/>
  <c r="I233" i="1"/>
  <c r="H233" i="1"/>
  <c r="G233" i="1"/>
  <c r="G226" i="1"/>
  <c r="F226" i="1"/>
  <c r="I225" i="1"/>
  <c r="G225" i="1"/>
  <c r="F225" i="1"/>
  <c r="K223" i="1"/>
  <c r="I223" i="1"/>
  <c r="H223" i="1"/>
  <c r="G223" i="1"/>
  <c r="F223" i="1"/>
  <c r="K221" i="1"/>
  <c r="J221" i="1"/>
  <c r="I221" i="1"/>
  <c r="H221" i="1"/>
  <c r="G221" i="1"/>
  <c r="F221" i="1"/>
  <c r="J220" i="1"/>
  <c r="I220" i="1"/>
  <c r="G220" i="1"/>
  <c r="F220" i="1"/>
  <c r="K220" i="1"/>
  <c r="I218" i="1"/>
  <c r="G218" i="1"/>
  <c r="F218" i="1"/>
  <c r="I216" i="1"/>
  <c r="H216" i="1"/>
  <c r="G216" i="1"/>
  <c r="K215" i="1"/>
  <c r="I215" i="1"/>
  <c r="H215" i="1"/>
  <c r="G215" i="1"/>
  <c r="I198" i="1"/>
  <c r="H198" i="1"/>
  <c r="G208" i="1"/>
  <c r="F208" i="1"/>
  <c r="I207" i="1"/>
  <c r="G207" i="1"/>
  <c r="F207" i="1"/>
  <c r="K205" i="1"/>
  <c r="I205" i="1"/>
  <c r="H205" i="1"/>
  <c r="G205" i="1"/>
  <c r="K203" i="1"/>
  <c r="I203" i="1"/>
  <c r="H203" i="1"/>
  <c r="G203" i="1"/>
  <c r="F203" i="1"/>
  <c r="I202" i="1"/>
  <c r="H202" i="1"/>
  <c r="G202" i="1"/>
  <c r="K202" i="1"/>
  <c r="K200" i="1"/>
  <c r="I200" i="1"/>
  <c r="G200" i="1"/>
  <c r="G198" i="1"/>
  <c r="F198" i="1"/>
  <c r="I197" i="1"/>
  <c r="H197" i="1"/>
  <c r="G197" i="1"/>
  <c r="F245" i="1" l="1"/>
  <c r="K244" i="1"/>
  <c r="J244" i="1"/>
  <c r="I244" i="1"/>
  <c r="H244" i="1"/>
  <c r="J243" i="1"/>
  <c r="K242" i="1"/>
  <c r="G242" i="1"/>
  <c r="F242" i="1"/>
  <c r="I240" i="1"/>
  <c r="J240" i="1"/>
  <c r="G227" i="1"/>
  <c r="F227" i="1"/>
  <c r="K226" i="1"/>
  <c r="J226" i="1"/>
  <c r="I226" i="1"/>
  <c r="H226" i="1"/>
  <c r="J225" i="1"/>
  <c r="K224" i="1"/>
  <c r="G224" i="1"/>
  <c r="F224" i="1"/>
  <c r="K222" i="1" l="1"/>
  <c r="I222" i="1"/>
  <c r="H222" i="1"/>
  <c r="G222" i="1"/>
  <c r="J222" i="1"/>
  <c r="H220" i="1"/>
  <c r="G209" i="1"/>
  <c r="F209" i="1"/>
  <c r="K208" i="1"/>
  <c r="J208" i="1"/>
  <c r="I208" i="1"/>
  <c r="H208" i="1"/>
  <c r="J207" i="1"/>
  <c r="K206" i="1"/>
  <c r="G206" i="1"/>
  <c r="F206" i="1"/>
  <c r="K204" i="1"/>
  <c r="I204" i="1"/>
  <c r="H204" i="1"/>
  <c r="G204" i="1"/>
  <c r="J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J649" i="1" s="1"/>
  <c r="L226" i="1"/>
  <c r="G662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3" i="2"/>
  <c r="E113" i="2"/>
  <c r="C114" i="2"/>
  <c r="E114" i="2"/>
  <c r="D115" i="2"/>
  <c r="F115" i="2"/>
  <c r="G115" i="2"/>
  <c r="E120" i="2"/>
  <c r="C121" i="2"/>
  <c r="E121" i="2"/>
  <c r="E122" i="2"/>
  <c r="E123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F571" i="1" s="1"/>
  <c r="G560" i="1"/>
  <c r="H560" i="1"/>
  <c r="I560" i="1"/>
  <c r="I571" i="1" s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F192" i="1"/>
  <c r="L256" i="1"/>
  <c r="C26" i="10"/>
  <c r="L351" i="1"/>
  <c r="A31" i="12"/>
  <c r="D18" i="13"/>
  <c r="C18" i="13" s="1"/>
  <c r="D18" i="2"/>
  <c r="D17" i="13"/>
  <c r="C17" i="13" s="1"/>
  <c r="C91" i="2"/>
  <c r="F78" i="2"/>
  <c r="F81" i="2" s="1"/>
  <c r="D31" i="2"/>
  <c r="D50" i="2"/>
  <c r="G157" i="2"/>
  <c r="F18" i="2"/>
  <c r="G156" i="2"/>
  <c r="E103" i="2"/>
  <c r="E62" i="2"/>
  <c r="E63" i="2" s="1"/>
  <c r="E31" i="2"/>
  <c r="G62" i="2"/>
  <c r="D19" i="13"/>
  <c r="C19" i="13" s="1"/>
  <c r="E78" i="2"/>
  <c r="E81" i="2" s="1"/>
  <c r="L427" i="1"/>
  <c r="J641" i="1"/>
  <c r="J639" i="1"/>
  <c r="J571" i="1"/>
  <c r="L433" i="1"/>
  <c r="L419" i="1"/>
  <c r="I169" i="1"/>
  <c r="J644" i="1"/>
  <c r="J643" i="1"/>
  <c r="J476" i="1"/>
  <c r="H626" i="1" s="1"/>
  <c r="I476" i="1"/>
  <c r="H625" i="1" s="1"/>
  <c r="J625" i="1" s="1"/>
  <c r="G476" i="1"/>
  <c r="H623" i="1" s="1"/>
  <c r="J623" i="1" s="1"/>
  <c r="J140" i="1"/>
  <c r="I552" i="1"/>
  <c r="G22" i="2"/>
  <c r="C29" i="10"/>
  <c r="H140" i="1"/>
  <c r="L401" i="1"/>
  <c r="C139" i="2" s="1"/>
  <c r="L393" i="1"/>
  <c r="F22" i="13"/>
  <c r="H25" i="13"/>
  <c r="C25" i="13" s="1"/>
  <c r="J640" i="1"/>
  <c r="H571" i="1"/>
  <c r="J545" i="1"/>
  <c r="G192" i="1"/>
  <c r="H192" i="1"/>
  <c r="C35" i="10"/>
  <c r="J655" i="1"/>
  <c r="J645" i="1"/>
  <c r="L570" i="1"/>
  <c r="J636" i="1"/>
  <c r="G36" i="2"/>
  <c r="L565" i="1"/>
  <c r="C22" i="13"/>
  <c r="C138" i="2"/>
  <c r="H33" i="13"/>
  <c r="A40" i="12" l="1"/>
  <c r="A13" i="12"/>
  <c r="F476" i="1"/>
  <c r="H622" i="1" s="1"/>
  <c r="J622" i="1" s="1"/>
  <c r="H476" i="1"/>
  <c r="H624" i="1" s="1"/>
  <c r="C19" i="10"/>
  <c r="K598" i="1"/>
  <c r="G647" i="1" s="1"/>
  <c r="J651" i="1"/>
  <c r="C18" i="10"/>
  <c r="G624" i="1"/>
  <c r="G164" i="2"/>
  <c r="K503" i="1"/>
  <c r="K500" i="1"/>
  <c r="G161" i="2"/>
  <c r="G545" i="1"/>
  <c r="K551" i="1"/>
  <c r="L544" i="1"/>
  <c r="I545" i="1"/>
  <c r="H552" i="1"/>
  <c r="L534" i="1"/>
  <c r="G552" i="1"/>
  <c r="K549" i="1"/>
  <c r="K550" i="1"/>
  <c r="L529" i="1"/>
  <c r="F552" i="1"/>
  <c r="L524" i="1"/>
  <c r="J617" i="1"/>
  <c r="C70" i="2"/>
  <c r="C81" i="2" s="1"/>
  <c r="F112" i="1"/>
  <c r="C36" i="10" s="1"/>
  <c r="C62" i="2"/>
  <c r="C63" i="2" s="1"/>
  <c r="J634" i="1"/>
  <c r="G661" i="1"/>
  <c r="F661" i="1"/>
  <c r="H661" i="1"/>
  <c r="D29" i="13"/>
  <c r="C29" i="13" s="1"/>
  <c r="L362" i="1"/>
  <c r="C27" i="10" s="1"/>
  <c r="D127" i="2"/>
  <c r="D128" i="2" s="1"/>
  <c r="D145" i="2" s="1"/>
  <c r="E119" i="2"/>
  <c r="L328" i="1"/>
  <c r="E112" i="2"/>
  <c r="K338" i="1"/>
  <c r="K352" i="1" s="1"/>
  <c r="E118" i="2"/>
  <c r="E124" i="2"/>
  <c r="E128" i="2" s="1"/>
  <c r="L309" i="1"/>
  <c r="J338" i="1"/>
  <c r="J352" i="1" s="1"/>
  <c r="H338" i="1"/>
  <c r="H352" i="1" s="1"/>
  <c r="G338" i="1"/>
  <c r="G352" i="1" s="1"/>
  <c r="E109" i="2"/>
  <c r="E115" i="2" s="1"/>
  <c r="F338" i="1"/>
  <c r="F352" i="1" s="1"/>
  <c r="L290" i="1"/>
  <c r="D12" i="13"/>
  <c r="C12" i="13" s="1"/>
  <c r="G650" i="1"/>
  <c r="J650" i="1" s="1"/>
  <c r="C13" i="10"/>
  <c r="C16" i="10"/>
  <c r="C112" i="2"/>
  <c r="K257" i="1"/>
  <c r="K271" i="1" s="1"/>
  <c r="H662" i="1"/>
  <c r="C124" i="2"/>
  <c r="D14" i="13"/>
  <c r="C14" i="13" s="1"/>
  <c r="C122" i="2"/>
  <c r="L247" i="1"/>
  <c r="C10" i="10"/>
  <c r="E16" i="13"/>
  <c r="C16" i="13" s="1"/>
  <c r="C123" i="2"/>
  <c r="L229" i="1"/>
  <c r="C15" i="10"/>
  <c r="H257" i="1"/>
  <c r="H271" i="1" s="1"/>
  <c r="C11" i="10"/>
  <c r="J257" i="1"/>
  <c r="J271" i="1" s="1"/>
  <c r="I257" i="1"/>
  <c r="I271" i="1" s="1"/>
  <c r="G257" i="1"/>
  <c r="G271" i="1" s="1"/>
  <c r="F257" i="1"/>
  <c r="F271" i="1" s="1"/>
  <c r="C17" i="10"/>
  <c r="H647" i="1"/>
  <c r="J647" i="1" s="1"/>
  <c r="D15" i="13"/>
  <c r="C15" i="13" s="1"/>
  <c r="F662" i="1"/>
  <c r="C21" i="10"/>
  <c r="C20" i="10"/>
  <c r="E13" i="13"/>
  <c r="C13" i="13" s="1"/>
  <c r="E8" i="13"/>
  <c r="C8" i="13" s="1"/>
  <c r="C120" i="2"/>
  <c r="D6" i="13"/>
  <c r="C6" i="13" s="1"/>
  <c r="C118" i="2"/>
  <c r="C119" i="2"/>
  <c r="D5" i="13"/>
  <c r="C5" i="13" s="1"/>
  <c r="C110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J624" i="1" l="1"/>
  <c r="K552" i="1"/>
  <c r="L545" i="1"/>
  <c r="C104" i="2"/>
  <c r="F193" i="1"/>
  <c r="G627" i="1" s="1"/>
  <c r="J627" i="1" s="1"/>
  <c r="I661" i="1"/>
  <c r="G635" i="1"/>
  <c r="J635" i="1" s="1"/>
  <c r="H660" i="1"/>
  <c r="H664" i="1" s="1"/>
  <c r="H667" i="1" s="1"/>
  <c r="E145" i="2"/>
  <c r="L338" i="1"/>
  <c r="L352" i="1" s="1"/>
  <c r="G633" i="1" s="1"/>
  <c r="J633" i="1" s="1"/>
  <c r="G660" i="1"/>
  <c r="G664" i="1" s="1"/>
  <c r="G667" i="1" s="1"/>
  <c r="D31" i="13"/>
  <c r="C31" i="13" s="1"/>
  <c r="F660" i="1"/>
  <c r="F664" i="1" s="1"/>
  <c r="F672" i="1" s="1"/>
  <c r="C4" i="10" s="1"/>
  <c r="C115" i="2"/>
  <c r="I662" i="1"/>
  <c r="H648" i="1"/>
  <c r="J648" i="1" s="1"/>
  <c r="C28" i="10"/>
  <c r="D22" i="10" s="1"/>
  <c r="E33" i="13"/>
  <c r="D35" i="13" s="1"/>
  <c r="C128" i="2"/>
  <c r="L257" i="1"/>
  <c r="L271" i="1" s="1"/>
  <c r="G632" i="1" s="1"/>
  <c r="J63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D33" i="13"/>
  <c r="D36" i="13" s="1"/>
  <c r="I660" i="1"/>
  <c r="I664" i="1" s="1"/>
  <c r="I672" i="1" s="1"/>
  <c r="C7" i="10" s="1"/>
  <c r="C145" i="2"/>
  <c r="F667" i="1"/>
  <c r="D17" i="10"/>
  <c r="D12" i="10"/>
  <c r="D18" i="10"/>
  <c r="D27" i="10"/>
  <c r="D24" i="10"/>
  <c r="D26" i="10"/>
  <c r="D16" i="10"/>
  <c r="D23" i="10"/>
  <c r="D10" i="10"/>
  <c r="C30" i="10"/>
  <c r="D20" i="10"/>
  <c r="D15" i="10"/>
  <c r="D25" i="10"/>
  <c r="D19" i="10"/>
  <c r="D13" i="10"/>
  <c r="D11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<sst xmlns="http://schemas.openxmlformats.org/spreadsheetml/2006/main" count="3959" uniqueCount="917">
  <si>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</si>
  <si>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</si>
  <si>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</si>
  <si>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</si>
  <si>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</si>
  <si>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</si>
  <si>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</si>
  <si>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</si>
  <si>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</si>
  <si>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</si>
  <si>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</si>
  <si>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</si>
  <si>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</si>
  <si>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</si>
  <si>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</si>
  <si>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</si>
  <si>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</si>
  <si>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</si>
  <si>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</si>
  <si>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</si>
  <si>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</si>
  <si>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</si>
  <si>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</si>
  <si>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</si>
  <si>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</si>
  <si>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</si>
  <si>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</si>
  <si>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</si>
  <si>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</si>
  <si>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</si>
  <si>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</si>
  <si>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</si>
  <si>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</si>
  <si>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</si>
  <si>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</si>
  <si>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</si>
  <si>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</si>
  <si>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</si>
  <si>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</si>
  <si>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</si>
  <si>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</si>
  <si>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</si>
  <si>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</si>
  <si>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</si>
  <si>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</si>
  <si>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</si>
  <si>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</si>
  <si>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</si>
  <si>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</si>
  <si>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</si>
  <si>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</si>
  <si>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</si>
  <si>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</si>
  <si>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</si>
  <si>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</si>
  <si>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</si>
  <si>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</si>
  <si>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</si>
  <si>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</si>
  <si>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</si>
  <si>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</si>
  <si>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</si>
  <si>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</si>
  <si>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</si>
  <si>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</si>
  <si>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</si>
  <si>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</si>
  <si>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</si>
  <si>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</si>
  <si>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</si>
  <si>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</si>
  <si>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</si>
  <si>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</si>
  <si>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</si>
  <si>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</si>
  <si>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</si>
  <si>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</si>
  <si>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</si>
  <si>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</si>
  <si>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</si>
  <si>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</si>
  <si>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</si>
  <si>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</si>
  <si>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</si>
  <si>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</si>
  <si>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</si>
  <si>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</si>
  <si>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</si>
  <si>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</si>
  <si>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</si>
  <si>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</si>
  <si>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</si>
  <si>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</si>
  <si>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</si>
  <si>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</si>
  <si>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</si>
  <si>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</si>
  <si>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</si>
  <si>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</si>
  <si>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</si>
  <si>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</si>
  <si>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</si>
  <si>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</si>
  <si>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</si>
  <si>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</si>
  <si>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</si>
  <si>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</si>
  <si>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</si>
  <si>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</si>
  <si>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</si>
  <si>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</si>
  <si>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</si>
  <si>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</si>
  <si>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</si>
  <si>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</si>
  <si>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</si>
  <si>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</si>
  <si>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</si>
  <si>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</si>
  <si>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</si>
  <si>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</si>
  <si>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</si>
  <si>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</si>
  <si>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</si>
  <si>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</si>
  <si>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</si>
  <si>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</si>
  <si>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</si>
  <si>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</si>
  <si>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</si>
  <si>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</si>
  <si>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</si>
  <si>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</si>
  <si>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</si>
  <si>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</si>
  <si>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</si>
  <si>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</si>
  <si>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</si>
  <si>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</si>
  <si>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</si>
  <si>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</si>
  <si>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</si>
  <si>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</si>
  <si>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</si>
  <si>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</si>
  <si>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</si>
  <si>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</si>
  <si>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</si>
  <si>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</si>
  <si>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</si>
  <si>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</si>
  <si>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</si>
  <si>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</si>
  <si>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</si>
  <si>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</si>
  <si>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</si>
  <si>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</si>
  <si>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</si>
  <si>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</si>
  <si>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</si>
  <si>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</si>
  <si>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</si>
  <si>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</si>
  <si>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</si>
  <si>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</si>
  <si>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</si>
  <si>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</si>
  <si>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</si>
  <si>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</si>
  <si>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</si>
  <si>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</si>
  <si>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</si>
  <si>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</si>
  <si>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</si>
  <si>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</si>
  <si>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</si>
  <si>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</si>
  <si>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</si>
  <si>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</si>
  <si>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</si>
  <si>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</si>
  <si>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</si>
  <si>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</si>
  <si>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</si>
  <si>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</si>
  <si>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</si>
  <si>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</si>
  <si>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</si>
  <si>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</si>
  <si>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</si>
  <si>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</si>
  <si>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</si>
  <si>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</si>
  <si>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</si>
  <si>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</si>
  <si>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</si>
  <si>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</si>
  <si>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</si>
  <si>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</si>
  <si>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</si>
  <si>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</si>
  <si>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</si>
  <si>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</si>
  <si>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</si>
  <si>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</si>
  <si>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</si>
  <si>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</si>
  <si>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</si>
  <si>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</si>
  <si>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</si>
  <si>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</si>
  <si>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</si>
  <si>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</si>
  <si>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</si>
  <si>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</si>
  <si>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</si>
  <si>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</si>
  <si>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</si>
  <si>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</si>
  <si>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</si>
  <si>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</si>
  <si>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</si>
  <si>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</si>
  <si>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</si>
  <si>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</si>
  <si>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</si>
  <si>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</si>
  <si>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</si>
  <si>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</si>
  <si>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</si>
  <si>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</si>
  <si>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</si>
  <si>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</si>
  <si>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</si>
  <si>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</si>
  <si>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</si>
  <si>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</si>
  <si>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</si>
  <si>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</si>
  <si>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</si>
  <si>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</si>
  <si>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</si>
  <si>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</si>
  <si>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</si>
  <si>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</si>
  <si>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</si>
  <si>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</si>
  <si>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</si>
  <si>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</si>
  <si>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</si>
  <si>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</si>
  <si>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</si>
  <si>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</si>
  <si>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</si>
  <si>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</si>
  <si>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</si>
  <si>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</si>
  <si>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</si>
  <si>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</si>
  <si>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</si>
  <si>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</si>
  <si>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</si>
  <si>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</si>
  <si>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</si>
  <si>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</si>
  <si>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</si>
  <si>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</si>
  <si>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</si>
  <si>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</si>
  <si>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</si>
  <si>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</si>
  <si>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</si>
  <si>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</si>
  <si>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</si>
  <si>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</si>
  <si>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</si>
  <si>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</si>
  <si>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</si>
  <si>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</si>
  <si>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</si>
  <si>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</si>
  <si>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</si>
  <si>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</si>
  <si>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</si>
  <si>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</si>
  <si>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</si>
  <si>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</si>
  <si>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</si>
  <si>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</si>
  <si>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</si>
  <si>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</si>
  <si>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</si>
  <si>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</si>
  <si>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</si>
  <si>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</si>
  <si>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</si>
  <si>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</si>
  <si>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</si>
  <si>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</si>
  <si>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</si>
  <si>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</si>
  <si>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</si>
  <si>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</si>
  <si>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</si>
  <si>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</si>
  <si>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</si>
  <si>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</si>
  <si>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</si>
  <si>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</si>
  <si>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</si>
  <si>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</si>
  <si>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</si>
  <si>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</si>
  <si>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</si>
  <si>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</si>
  <si>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</si>
  <si>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</si>
  <si>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</si>
  <si>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</si>
  <si>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</si>
  <si>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</si>
  <si>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</si>
  <si>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</si>
  <si>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</si>
  <si>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</si>
  <si>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</si>
  <si>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</si>
  <si>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</si>
  <si>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</si>
  <si>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</si>
  <si>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</si>
  <si>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</si>
  <si>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</si>
  <si>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</si>
  <si>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</si>
  <si>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</si>
  <si>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</si>
  <si>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</si>
  <si>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</si>
  <si>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</si>
  <si>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</si>
  <si>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</si>
  <si>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</si>
  <si>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</si>
  <si>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</si>
  <si>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</si>
  <si>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</si>
  <si>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</si>
  <si>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</si>
  <si>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</si>
  <si>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</si>
  <si>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</si>
  <si>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</si>
  <si>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</si>
  <si>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</si>
  <si>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</si>
  <si>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</si>
  <si>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</si>
  <si>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</si>
  <si>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</si>
  <si>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</si>
  <si>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</si>
  <si>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</si>
  <si>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</si>
  <si>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</si>
  <si>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</si>
  <si>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</si>
  <si>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</si>
  <si>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</si>
  <si>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</si>
  <si>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</si>
  <si>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</si>
  <si>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</si>
  <si>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</si>
  <si>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</si>
  <si>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</si>
  <si>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</si>
  <si>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</si>
  <si>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</si>
  <si>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</si>
  <si>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</si>
  <si>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</si>
  <si>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</si>
  <si>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</si>
  <si>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</si>
  <si>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</si>
  <si>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</si>
  <si>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</si>
  <si>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</si>
  <si>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</si>
  <si>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</si>
  <si>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</si>
  <si>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</si>
  <si>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</si>
  <si>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</si>
  <si>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</si>
  <si>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</si>
  <si>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</si>
  <si>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</si>
  <si>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</si>
  <si>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</si>
  <si>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</si>
  <si>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</si>
  <si>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</si>
  <si>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</si>
  <si>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</si>
  <si>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</si>
  <si>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</si>
  <si>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</si>
  <si>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</si>
  <si>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</si>
  <si>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</si>
  <si>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</si>
  <si>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</si>
  <si>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</si>
  <si>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</si>
  <si>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</si>
  <si>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</si>
  <si>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</si>
  <si>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</si>
  <si>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</si>
  <si>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</si>
  <si>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</si>
  <si>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</si>
  <si>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</si>
  <si>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</si>
  <si>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</si>
  <si>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</si>
  <si>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</si>
  <si>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</si>
  <si>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</si>
  <si>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</si>
  <si>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</si>
  <si>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</si>
  <si>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</si>
  <si>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</si>
  <si>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</si>
  <si>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</si>
  <si>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</si>
  <si>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</si>
  <si>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</si>
  <si>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</si>
  <si>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</si>
  <si>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</si>
  <si>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</si>
  <si>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</si>
  <si>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</si>
  <si>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</si>
  <si>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</si>
  <si>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</si>
  <si>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</si>
  <si>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</si>
  <si>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</si>
  <si>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</si>
  <si>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</si>
  <si>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</si>
  <si>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</si>
  <si>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</si>
  <si>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</si>
  <si>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</si>
  <si>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</si>
  <si>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</si>
  <si>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</si>
  <si>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</si>
  <si>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</si>
  <si>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</si>
  <si>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</si>
  <si>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</si>
  <si>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</si>
  <si>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</si>
  <si>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</si>
  <si>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</si>
  <si>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</si>
  <si>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</si>
  <si>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</si>
  <si>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</si>
  <si>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</si>
  <si>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</si>
  <si>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</si>
  <si>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</si>
  <si>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</si>
  <si>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</si>
  <si>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</si>
  <si>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</si>
  <si>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</si>
  <si>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</si>
  <si>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</si>
  <si>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</si>
  <si>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</si>
  <si>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</si>
  <si>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</si>
  <si>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</si>
  <si>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</si>
  <si>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</si>
  <si>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</si>
  <si>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</si>
  <si>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</si>
  <si>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</si>
  <si>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</si>
  <si>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</si>
  <si>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</si>
  <si>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</si>
  <si>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</si>
  <si>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</si>
  <si>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</si>
  <si>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</si>
  <si>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</si>
  <si>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</si>
  <si>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</si>
  <si>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</si>
  <si>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</si>
  <si>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</si>
  <si>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</si>
  <si>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</si>
  <si>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</si>
  <si>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</si>
  <si>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</si>
  <si>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</si>
  <si>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</si>
  <si>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</si>
  <si>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</si>
  <si>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</si>
  <si>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</si>
  <si>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</si>
  <si>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</si>
  <si>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</si>
  <si>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</si>
  <si>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</si>
  <si>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</si>
  <si>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</si>
  <si>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</si>
  <si>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</si>
  <si>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</si>
  <si>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</si>
  <si>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</si>
  <si>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</si>
  <si>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</si>
  <si>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</si>
  <si>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</si>
  <si>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</si>
  <si>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</si>
  <si>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</si>
  <si>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</si>
  <si>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</si>
  <si>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</si>
  <si>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</si>
  <si>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</si>
  <si>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</si>
  <si>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</si>
  <si>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</si>
  <si>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</si>
  <si>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</si>
  <si>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</si>
  <si>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</si>
  <si>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</si>
  <si>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</si>
  <si>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</si>
  <si>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</si>
  <si>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</si>
  <si>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</si>
  <si>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</si>
  <si>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</si>
  <si>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</si>
  <si>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</si>
  <si>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</si>
  <si>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</si>
  <si>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</si>
  <si>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</si>
  <si>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</si>
  <si>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</si>
  <si>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</si>
  <si>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</si>
  <si>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</si>
  <si>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</si>
  <si>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</si>
  <si>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</si>
  <si>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</si>
  <si>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</si>
  <si>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</si>
  <si>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</si>
  <si>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</si>
  <si>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</si>
  <si>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</si>
  <si>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</si>
  <si>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</si>
  <si>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</si>
  <si>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</si>
  <si>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</si>
  <si>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</si>
  <si>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</si>
  <si>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</si>
  <si>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</si>
  <si>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</si>
  <si>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</si>
  <si>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</si>
  <si>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</si>
  <si>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</si>
  <si>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</si>
  <si>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</si>
  <si>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</si>
  <si>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</si>
  <si>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</si>
  <si>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</si>
  <si>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</si>
  <si>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</si>
  <si>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</si>
  <si>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</si>
  <si>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</si>
  <si>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</si>
  <si>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</si>
  <si>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</si>
  <si>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</si>
  <si>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</si>
  <si>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</si>
  <si>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</si>
  <si>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</si>
  <si>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</si>
  <si>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</si>
  <si>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</si>
  <si>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</si>
  <si>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</si>
  <si>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</si>
  <si>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</si>
  <si>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</si>
  <si>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</si>
  <si>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</si>
  <si>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</si>
  <si>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</si>
  <si>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</si>
  <si>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</si>
  <si>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</si>
  <si>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</si>
  <si>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</si>
  <si>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</si>
  <si>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</si>
  <si>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</si>
  <si>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</si>
  <si>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</si>
  <si>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</si>
  <si>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</si>
  <si>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</si>
  <si>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</si>
  <si>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</si>
  <si>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</si>
  <si>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</si>
  <si>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</si>
  <si>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</si>
  <si>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</si>
  <si>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</si>
  <si>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</si>
  <si>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</si>
  <si>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</si>
  <si>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</si>
  <si>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</si>
  <si>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</si>
  <si>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</si>
  <si>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</si>
  <si>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</si>
  <si>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</si>
  <si>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</si>
  <si>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</si>
  <si>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</si>
  <si>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</si>
  <si>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</si>
  <si>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</si>
  <si>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</si>
  <si>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</si>
  <si>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</si>
  <si>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</si>
  <si>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</si>
  <si>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</si>
  <si>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</si>
  <si>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</si>
  <si>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</si>
  <si>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</si>
  <si>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</si>
  <si>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</si>
  <si>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</si>
  <si>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</si>
  <si>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</si>
  <si>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</si>
  <si>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</si>
  <si>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</si>
  <si>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</si>
  <si>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</si>
  <si>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</si>
  <si>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</si>
  <si>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</si>
  <si>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</si>
  <si>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</si>
  <si>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</si>
  <si>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</si>
  <si>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</si>
  <si>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</si>
  <si>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</si>
  <si>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</si>
  <si>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</si>
  <si>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</si>
  <si>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</si>
  <si>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</si>
  <si>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</si>
  <si>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</si>
  <si>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</si>
  <si>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</si>
  <si>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</si>
  <si>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</si>
  <si>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</si>
  <si>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</si>
  <si>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</si>
  <si>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</si>
  <si>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</si>
  <si>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</si>
  <si>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</si>
  <si>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</si>
  <si>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</si>
  <si>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</si>
  <si>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</si>
  <si>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</si>
  <si>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</si>
  <si>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</si>
  <si>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</si>
  <si>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</si>
  <si>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</si>
  <si>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</si>
  <si>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</si>
  <si>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</si>
  <si>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</si>
  <si>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</si>
  <si>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</si>
  <si>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</si>
  <si>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</si>
  <si>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</si>
  <si>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</si>
  <si>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</si>
  <si>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</si>
  <si>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</si>
  <si>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</si>
  <si>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</si>
  <si>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</si>
  <si>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</si>
  <si>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</si>
  <si>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</si>
  <si>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</si>
  <si>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</si>
  <si>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</si>
  <si>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</si>
  <si>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</si>
  <si>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</si>
  <si>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</si>
  <si>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</si>
  <si>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</si>
  <si>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</si>
  <si>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</si>
  <si>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</si>
  <si>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</si>
  <si>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</si>
  <si>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</si>
  <si>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</si>
  <si>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</si>
  <si>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</si>
  <si>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</si>
  <si>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</si>
  <si>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</si>
  <si>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</si>
  <si>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</si>
  <si>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</si>
  <si>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</si>
  <si>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</si>
  <si>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</si>
  <si>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</si>
  <si>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</si>
  <si>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</si>
  <si>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</si>
  <si>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</si>
  <si>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</si>
  <si>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</si>
  <si>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</si>
  <si>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</si>
  <si>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</si>
  <si>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</si>
  <si>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</si>
  <si>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</si>
  <si>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</si>
  <si>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</si>
  <si>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</si>
  <si>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</si>
  <si>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</si>
  <si>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</si>
  <si>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</si>
  <si>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</si>
  <si>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</si>
  <si>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</si>
  <si>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</si>
  <si>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</si>
  <si>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</si>
  <si>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</si>
  <si>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</si>
  <si>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</si>
  <si>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</si>
  <si>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</si>
  <si>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</si>
  <si>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</si>
  <si>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</si>
  <si>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</si>
  <si>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</si>
  <si>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</si>
  <si>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</si>
  <si>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</si>
  <si>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</si>
  <si>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</si>
  <si>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</si>
  <si>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</si>
  <si>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</si>
  <si>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</si>
  <si>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</si>
  <si>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</si>
  <si>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</si>
  <si>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</si>
  <si>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</si>
  <si>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</si>
  <si>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</si>
  <si>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</si>
  <si>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</si>
  <si>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</si>
  <si>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</si>
  <si>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</si>
  <si>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</si>
  <si>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</si>
  <si>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</si>
  <si>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</si>
  <si>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</si>
  <si>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</si>
  <si>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</si>
  <si>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</si>
  <si>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</si>
  <si>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</si>
  <si>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</si>
  <si>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</si>
  <si>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</si>
  <si>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</si>
  <si>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</si>
  <si>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</si>
  <si>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</si>
  <si>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</si>
  <si>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</si>
  <si>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</si>
  <si>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</si>
  <si>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</si>
  <si>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</si>
  <si>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</si>
  <si>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</si>
  <si>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</si>
  <si>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</si>
  <si>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</si>
  <si>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</si>
  <si>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</si>
  <si>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</si>
  <si>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</si>
  <si>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</si>
  <si>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</si>
  <si>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</si>
  <si>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</si>
  <si>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</si>
  <si>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</si>
  <si>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</si>
  <si>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</si>
  <si>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</si>
  <si>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</si>
  <si>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</si>
  <si>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</si>
  <si>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</si>
  <si>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</si>
  <si>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</si>
  <si>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</si>
  <si>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</si>
  <si>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</si>
  <si>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</si>
  <si>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</si>
  <si>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</si>
  <si>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</si>
  <si>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</si>
  <si>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</si>
  <si>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</si>
  <si>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</si>
  <si>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</si>
  <si>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</si>
  <si>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</si>
  <si>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</si>
  <si>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</si>
  <si>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</si>
  <si>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</si>
  <si>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</si>
  <si>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</si>
  <si>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</si>
  <si>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</si>
  <si>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</si>
  <si>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</si>
  <si>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</si>
  <si>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</si>
  <si>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</si>
  <si>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</si>
  <si>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</si>
  <si>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</si>
  <si>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</si>
  <si>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</si>
  <si>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</si>
  <si>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</si>
  <si>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</si>
  <si>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</si>
  <si>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</si>
  <si>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</si>
  <si>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07/06</t>
  </si>
  <si>
    <t>01/10</t>
  </si>
  <si>
    <t>07/16</t>
  </si>
  <si>
    <t>08/25</t>
  </si>
  <si>
    <t>Unidentified variance between the General Fund and Grants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</si>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</sst>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topLeftCell="A636" zoomScaleNormal="100" workbookViewId="0">
      <selection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51</v>
      </c>
      <c r="C2" s="21">
        <v>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f>14585.31+5544</f>
        <v>20129.309999999998</v>
      </c>
      <c r="H9" s="18">
        <v>45994.25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20129.309999999998</v>
      </c>
      <c r="H19" s="41">
        <f>SUM(H9:H18)</f>
        <v>45994.25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20129.310000000001</v>
      </c>
      <c r="H48" s="18">
        <v>45994.25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20129.310000000001</v>
      </c>
      <c r="H51" s="41">
        <f>SUM(H35:H50)</f>
        <v>45994.25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20129.310000000001</v>
      </c>
      <c r="H52" s="41">
        <f>H51+H32</f>
        <v>45994.25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3642540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3642540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1479335.67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60757.23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12427.9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1552520.7999999998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3000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3000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220862.07999999999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845.2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56154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>
        <v>5000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15202.83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16048.03</v>
      </c>
      <c r="G111" s="41">
        <f>SUM(G96:G110)</f>
        <v>220862.07999999999</v>
      </c>
      <c r="H111" s="41">
        <f>SUM(H96:H110)</f>
        <v>61154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5214108.83</v>
      </c>
      <c r="G112" s="41">
        <f>G60+G111</f>
        <v>220862.07999999999</v>
      </c>
      <c r="H112" s="41">
        <f>H60+H79+H94+H111</f>
        <v>61154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10414882.68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724733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11139615.68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165970.26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89962.93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64099.12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8606.15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320032.31</v>
      </c>
      <c r="G136" s="41">
        <f>SUM(G123:G135)</f>
        <v>8606.15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11459647.99</v>
      </c>
      <c r="G140" s="41">
        <f>G121+SUM(G136:G137)</f>
        <v>8606.15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471654.73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378029.31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84609.44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405757.42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326101.45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345764.95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345764.95</v>
      </c>
      <c r="G162" s="41">
        <f>SUM(G150:G161)</f>
        <v>405757.42</v>
      </c>
      <c r="H162" s="41">
        <f>SUM(H150:H161)</f>
        <v>1260394.93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25073.81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17080.54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387919.30000000005</v>
      </c>
      <c r="G169" s="41">
        <f>G147+G162+SUM(G163:G168)</f>
        <v>405757.42</v>
      </c>
      <c r="H169" s="41">
        <f>H147+H162+SUM(H163:H168)</f>
        <v>1260394.93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17061676.120000001</v>
      </c>
      <c r="G193" s="47">
        <f>G112+G140+G169+G192</f>
        <v>635225.64999999991</v>
      </c>
      <c r="H193" s="47">
        <f>H112+H140+H169+H192</f>
        <v>1321548.93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40351.56+1844151.18+4000+8000+1560</f>
        <v>1898062.74</v>
      </c>
      <c r="G197" s="18">
        <f>44975.08+649513.36</f>
        <v>694488.44</v>
      </c>
      <c r="H197" s="18">
        <f>19569.58+541</f>
        <v>20110.580000000002</v>
      </c>
      <c r="I197" s="18">
        <f>6498.06+45587.76</f>
        <v>52085.82</v>
      </c>
      <c r="J197" s="18">
        <f>107116.18+14523.69+1727.83</f>
        <v>123367.7</v>
      </c>
      <c r="K197" s="18"/>
      <c r="L197" s="19">
        <f>SUM(F197:K197)</f>
        <v>2788115.28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29327.11+12262.5+639288.11</f>
        <v>680877.72</v>
      </c>
      <c r="G198" s="18">
        <f>938.24+5123.58+159827.31</f>
        <v>165889.13</v>
      </c>
      <c r="H198" s="18">
        <f>35583.18+88800.42+99591.87</f>
        <v>223975.47</v>
      </c>
      <c r="I198" s="18">
        <f>1188.23+376.26</f>
        <v>1564.49</v>
      </c>
      <c r="J198" s="18">
        <f>449.98+1727.83</f>
        <v>2177.81</v>
      </c>
      <c r="K198" s="18"/>
      <c r="L198" s="19">
        <f>SUM(F198:K198)</f>
        <v>1074484.6200000001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20439.41+25088</f>
        <v>45527.41</v>
      </c>
      <c r="G200" s="18">
        <f>2322.11+3985.31</f>
        <v>6307.42</v>
      </c>
      <c r="H200" s="18">
        <f>491.46+2084.47+38791.95</f>
        <v>41367.879999999997</v>
      </c>
      <c r="I200" s="18">
        <f>556.96</f>
        <v>556.96</v>
      </c>
      <c r="J200" s="18"/>
      <c r="K200" s="18">
        <f>80+160</f>
        <v>240</v>
      </c>
      <c r="L200" s="19">
        <f>SUM(F200:K200)</f>
        <v>93999.67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81667.99+86168.72+12688.12+117822+54463.97+2000</f>
        <v>354810.80000000005</v>
      </c>
      <c r="G202" s="18">
        <f>38401.84+29359.8+970.66+33781.88+19207.94</f>
        <v>121722.12</v>
      </c>
      <c r="H202" s="18">
        <f>4753.12+76.05+216.08+163639.96+9005.08+285</f>
        <v>177975.28999999998</v>
      </c>
      <c r="I202" s="18">
        <f>616.13+370.36+470.7+993.23</f>
        <v>2450.42</v>
      </c>
      <c r="J202" s="18"/>
      <c r="K202" s="18">
        <f>377</f>
        <v>377</v>
      </c>
      <c r="L202" s="19">
        <f t="shared" ref="L202:L208" si="0">SUM(F202:K202)</f>
        <v>657335.63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89878.79</f>
        <v>89878.79</v>
      </c>
      <c r="G203" s="18">
        <f>4569+27301.17</f>
        <v>31870.17</v>
      </c>
      <c r="H203" s="18">
        <f>1485.96+325</f>
        <v>1810.96</v>
      </c>
      <c r="I203" s="18">
        <f>6932.15</f>
        <v>6932.15</v>
      </c>
      <c r="J203" s="18"/>
      <c r="K203" s="18">
        <f>125</f>
        <v>125</v>
      </c>
      <c r="L203" s="19">
        <f t="shared" si="0"/>
        <v>130617.06999999999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60411.14+49700.72+1800</f>
        <v>111911.86</v>
      </c>
      <c r="G204" s="18">
        <f>22373.64+10800.95</f>
        <v>33174.589999999997</v>
      </c>
      <c r="H204" s="18">
        <f>6018.86+6988.5+3102.12</f>
        <v>16109.48</v>
      </c>
      <c r="I204" s="18">
        <f>2632.35+1293.9</f>
        <v>3926.25</v>
      </c>
      <c r="J204" s="18">
        <f>3474.51</f>
        <v>3474.51</v>
      </c>
      <c r="K204" s="18">
        <f>6674.56+1095.09+181.8</f>
        <v>7951.4500000000007</v>
      </c>
      <c r="L204" s="19">
        <f t="shared" si="0"/>
        <v>176548.14000000004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182383.28+4000</f>
        <v>186383.28</v>
      </c>
      <c r="G205" s="18">
        <f>39251</f>
        <v>39251</v>
      </c>
      <c r="H205" s="18">
        <f>36651.28</f>
        <v>36651.279999999999</v>
      </c>
      <c r="I205" s="18">
        <f>2090</f>
        <v>2090</v>
      </c>
      <c r="J205" s="18"/>
      <c r="K205" s="18">
        <f>1470</f>
        <v>1470</v>
      </c>
      <c r="L205" s="19">
        <f t="shared" si="0"/>
        <v>265845.56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58285.33</f>
        <v>58285.33</v>
      </c>
      <c r="G206" s="18">
        <f>22040.11</f>
        <v>22040.11</v>
      </c>
      <c r="H206" s="18">
        <f>1182.33+9987.07</f>
        <v>11169.4</v>
      </c>
      <c r="I206" s="18"/>
      <c r="J206" s="18"/>
      <c r="K206" s="18">
        <f>373.02</f>
        <v>373.02</v>
      </c>
      <c r="L206" s="19">
        <f t="shared" si="0"/>
        <v>91867.86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64441.48+83597.29</f>
        <v>148038.76999999999</v>
      </c>
      <c r="G207" s="18">
        <f>23939.57+46115.57</f>
        <v>70055.14</v>
      </c>
      <c r="H207" s="18">
        <f>126055.6+2492+11535.94</f>
        <v>140083.54</v>
      </c>
      <c r="I207" s="18">
        <f>42609.06+62493.34</f>
        <v>105102.39999999999</v>
      </c>
      <c r="J207" s="18">
        <f>5013.96</f>
        <v>5013.96</v>
      </c>
      <c r="K207" s="18"/>
      <c r="L207" s="19">
        <f t="shared" si="0"/>
        <v>468293.81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88249.6+810.27+3207.15+448.07+135.16+1833.43</f>
        <v>94683.680000000008</v>
      </c>
      <c r="G208" s="18">
        <f>17726.19+61.99+245.28+34.28+10.33+140.1</f>
        <v>18218.169999999998</v>
      </c>
      <c r="H208" s="18">
        <f>25128.35</f>
        <v>25128.35</v>
      </c>
      <c r="I208" s="18">
        <f>38866.99</f>
        <v>38866.99</v>
      </c>
      <c r="J208" s="18">
        <f>55100</f>
        <v>55100</v>
      </c>
      <c r="K208" s="18">
        <f>229.1</f>
        <v>229.1</v>
      </c>
      <c r="L208" s="19">
        <f t="shared" si="0"/>
        <v>232226.29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318.24</f>
        <v>318.24</v>
      </c>
      <c r="G209" s="18">
        <f>24.35</f>
        <v>24.35</v>
      </c>
      <c r="H209" s="18"/>
      <c r="I209" s="18"/>
      <c r="J209" s="18"/>
      <c r="K209" s="18"/>
      <c r="L209" s="19">
        <f>SUM(F209:K209)</f>
        <v>342.59000000000003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3668778.62</v>
      </c>
      <c r="G211" s="41">
        <f t="shared" si="1"/>
        <v>1203040.6400000001</v>
      </c>
      <c r="H211" s="41">
        <f t="shared" si="1"/>
        <v>694382.23</v>
      </c>
      <c r="I211" s="41">
        <f t="shared" si="1"/>
        <v>213575.47999999998</v>
      </c>
      <c r="J211" s="41">
        <f t="shared" si="1"/>
        <v>189133.97999999998</v>
      </c>
      <c r="K211" s="41">
        <f t="shared" si="1"/>
        <v>10765.570000000002</v>
      </c>
      <c r="L211" s="41">
        <f t="shared" si="1"/>
        <v>5979676.5199999996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25866.39+1316772.09+6000+1000</f>
        <v>1349638.48</v>
      </c>
      <c r="G215" s="18">
        <f>28830.19+551727.18</f>
        <v>580557.37</v>
      </c>
      <c r="H215" s="18">
        <f>12544.6+38087.19</f>
        <v>50631.79</v>
      </c>
      <c r="I215" s="18">
        <f>4165.42+22477.72</f>
        <v>26643.14</v>
      </c>
      <c r="J215" s="18">
        <f>68664.22+3450.54+18808.37</f>
        <v>90923.12999999999</v>
      </c>
      <c r="K215" s="18">
        <f>1469.96</f>
        <v>1469.96</v>
      </c>
      <c r="L215" s="19">
        <f>SUM(F215:K215)</f>
        <v>2099863.87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7122.3+7630+428555.19+4000</f>
        <v>447307.49</v>
      </c>
      <c r="G216" s="18">
        <f>583.8+1244.3+76710.66</f>
        <v>78538.760000000009</v>
      </c>
      <c r="H216" s="18">
        <f>22140.65+213038.64</f>
        <v>235179.29</v>
      </c>
      <c r="I216" s="18">
        <f>2102.69</f>
        <v>2102.69</v>
      </c>
      <c r="J216" s="18"/>
      <c r="K216" s="18"/>
      <c r="L216" s="19">
        <f>SUM(F216:K216)</f>
        <v>763128.23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9128.57+23909</f>
        <v>33037.57</v>
      </c>
      <c r="G218" s="18">
        <f>1712.3+4047.63</f>
        <v>5759.93</v>
      </c>
      <c r="H218" s="18">
        <f>648+13642.28+1336.2</f>
        <v>15626.480000000001</v>
      </c>
      <c r="I218" s="18">
        <f>3131.5</f>
        <v>3131.5</v>
      </c>
      <c r="J218" s="18"/>
      <c r="K218" s="18"/>
      <c r="L218" s="19">
        <f>SUM(F218:K218)</f>
        <v>57555.48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32930.64+18886.3+67066.25+19846.99</f>
        <v>138730.18</v>
      </c>
      <c r="G220" s="18">
        <f>15484.62+6435.02+25401.72+7093.34</f>
        <v>54414.7</v>
      </c>
      <c r="H220" s="18">
        <f>3046.88+48.75+47.36+38756.84+1110.22</f>
        <v>43010.049999999996</v>
      </c>
      <c r="I220" s="18">
        <f>248.44+81.17+255.7+791.92</f>
        <v>1377.23</v>
      </c>
      <c r="J220" s="18">
        <f>370.04</f>
        <v>370.04</v>
      </c>
      <c r="K220" s="18">
        <f>794</f>
        <v>794</v>
      </c>
      <c r="L220" s="19">
        <f t="shared" ref="L220:L226" si="2">SUM(F220:K220)</f>
        <v>238696.2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31599.5</f>
        <v>31599.5</v>
      </c>
      <c r="G221" s="18">
        <f>9928.25+16338.4</f>
        <v>26266.65</v>
      </c>
      <c r="H221" s="18">
        <f>533.9+1722.47</f>
        <v>2256.37</v>
      </c>
      <c r="I221" s="18">
        <f>8281.98</f>
        <v>8281.98</v>
      </c>
      <c r="J221" s="18">
        <f>784.85</f>
        <v>784.85</v>
      </c>
      <c r="K221" s="18">
        <f>285.92</f>
        <v>285.92</v>
      </c>
      <c r="L221" s="19">
        <f t="shared" si="2"/>
        <v>69475.27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38725.09+30924.9+1120</f>
        <v>70769.989999999991</v>
      </c>
      <c r="G222" s="18">
        <f>14342.08+6720.6</f>
        <v>21062.68</v>
      </c>
      <c r="H222" s="18">
        <f>3858.25+4479.81+1930.21</f>
        <v>10268.27</v>
      </c>
      <c r="I222" s="18">
        <f>1687.4+314.23</f>
        <v>2001.63</v>
      </c>
      <c r="J222" s="18">
        <f>2227.25</f>
        <v>2227.25</v>
      </c>
      <c r="K222" s="18">
        <f>4278.57+701.98+113.12</f>
        <v>5093.6699999999992</v>
      </c>
      <c r="L222" s="19">
        <f t="shared" si="2"/>
        <v>111423.48999999999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104151.48</f>
        <v>104151.48</v>
      </c>
      <c r="G223" s="18">
        <f>64845.44</f>
        <v>64845.440000000002</v>
      </c>
      <c r="H223" s="18">
        <f>17958.99</f>
        <v>17958.990000000002</v>
      </c>
      <c r="I223" s="18">
        <f>520.68</f>
        <v>520.67999999999995</v>
      </c>
      <c r="J223" s="18"/>
      <c r="K223" s="18">
        <f>1325</f>
        <v>1325</v>
      </c>
      <c r="L223" s="19">
        <f t="shared" si="2"/>
        <v>188801.58999999997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37362.39</f>
        <v>37362.39</v>
      </c>
      <c r="G224" s="18">
        <f>14128.28</f>
        <v>14128.28</v>
      </c>
      <c r="H224" s="18">
        <f>757.9+6401.97</f>
        <v>7159.87</v>
      </c>
      <c r="I224" s="18"/>
      <c r="J224" s="18"/>
      <c r="K224" s="18">
        <f>239.12</f>
        <v>239.12</v>
      </c>
      <c r="L224" s="19">
        <f t="shared" si="2"/>
        <v>58889.66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41308.64+80825.98</f>
        <v>122134.62</v>
      </c>
      <c r="G225" s="18">
        <f>15345.88+40008.9</f>
        <v>55354.78</v>
      </c>
      <c r="H225" s="18">
        <f>80804.88+1246+7394.84</f>
        <v>89445.72</v>
      </c>
      <c r="I225" s="18">
        <f>27313.5+221547.64</f>
        <v>248861.14</v>
      </c>
      <c r="J225" s="18">
        <f>3214.07</f>
        <v>3214.07</v>
      </c>
      <c r="K225" s="18"/>
      <c r="L225" s="19">
        <f t="shared" si="2"/>
        <v>519010.33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42603.25+196.78+904.58+892.14+2720.47</f>
        <v>47317.22</v>
      </c>
      <c r="G226" s="18">
        <f>8557.47+15.06+69.18+68.17+207.92</f>
        <v>8917.7999999999993</v>
      </c>
      <c r="H226" s="18">
        <f>12130.93</f>
        <v>12130.93</v>
      </c>
      <c r="I226" s="18">
        <f>18763.38</f>
        <v>18763.38</v>
      </c>
      <c r="J226" s="18">
        <f>26600</f>
        <v>26600</v>
      </c>
      <c r="K226" s="18">
        <f>110.6</f>
        <v>110.6</v>
      </c>
      <c r="L226" s="19">
        <f t="shared" si="2"/>
        <v>113839.93000000002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204</f>
        <v>204</v>
      </c>
      <c r="G227" s="18">
        <f>15.61</f>
        <v>15.61</v>
      </c>
      <c r="H227" s="18"/>
      <c r="I227" s="18"/>
      <c r="J227" s="18"/>
      <c r="K227" s="18"/>
      <c r="L227" s="19">
        <f>SUM(F227:K227)</f>
        <v>219.61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2382252.9200000004</v>
      </c>
      <c r="G229" s="41">
        <f>SUM(G215:G228)</f>
        <v>909862.00000000012</v>
      </c>
      <c r="H229" s="41">
        <f>SUM(H215:H228)</f>
        <v>483667.75999999995</v>
      </c>
      <c r="I229" s="41">
        <f>SUM(I215:I228)</f>
        <v>311683.37</v>
      </c>
      <c r="J229" s="41">
        <f>SUM(J215:J228)</f>
        <v>124119.34</v>
      </c>
      <c r="K229" s="41">
        <f t="shared" si="3"/>
        <v>9318.27</v>
      </c>
      <c r="L229" s="41">
        <f t="shared" si="3"/>
        <v>4220903.66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37247.59+1751322.45+12000+1440</f>
        <v>1802010.04</v>
      </c>
      <c r="G233" s="18">
        <f>41515.47+718067.29</f>
        <v>759582.76</v>
      </c>
      <c r="H233" s="18">
        <f>18064.22+825</f>
        <v>18889.22</v>
      </c>
      <c r="I233" s="18">
        <f>5998.21+71863.81</f>
        <v>77862.02</v>
      </c>
      <c r="J233" s="18">
        <f>98876.48+25166.23+1727.83</f>
        <v>125770.54</v>
      </c>
      <c r="K233" s="18">
        <f>814</f>
        <v>814</v>
      </c>
      <c r="L233" s="19">
        <f>SUM(F233:K233)</f>
        <v>2784928.58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5446.46+7357.5+523063.98</f>
        <v>535867.93999999994</v>
      </c>
      <c r="G234" s="18">
        <f>562.95+951.52+132532.48</f>
        <v>134046.95000000001</v>
      </c>
      <c r="H234" s="18">
        <f>21349.91+513235.27+82126</f>
        <v>616711.18000000005</v>
      </c>
      <c r="I234" s="18">
        <f>1502.08</f>
        <v>1502.08</v>
      </c>
      <c r="J234" s="18"/>
      <c r="K234" s="18"/>
      <c r="L234" s="19">
        <f>SUM(F234:K234)</f>
        <v>1288128.1499999999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417689.69+4000</f>
        <v>421689.69</v>
      </c>
      <c r="G235" s="18">
        <f>180078.06</f>
        <v>180078.06</v>
      </c>
      <c r="H235" s="18">
        <f>2662.17</f>
        <v>2662.17</v>
      </c>
      <c r="I235" s="18">
        <f>42935.57</f>
        <v>42935.57</v>
      </c>
      <c r="J235" s="18">
        <f>1866.25</f>
        <v>1866.25</v>
      </c>
      <c r="K235" s="18"/>
      <c r="L235" s="19">
        <f>SUM(F235:K235)</f>
        <v>649231.74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19333.46+81768</f>
        <v>101101.45999999999</v>
      </c>
      <c r="G236" s="18">
        <f>4120.95+13382.2</f>
        <v>17503.150000000001</v>
      </c>
      <c r="H236" s="18">
        <f>38864.5+1924.13</f>
        <v>40788.629999999997</v>
      </c>
      <c r="I236" s="18">
        <f>830+11351.5</f>
        <v>12181.5</v>
      </c>
      <c r="J236" s="18">
        <f>10972</f>
        <v>10972</v>
      </c>
      <c r="K236" s="18">
        <f>8900</f>
        <v>8900</v>
      </c>
      <c r="L236" s="19">
        <f>SUM(F236:K236)</f>
        <v>191446.74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17123.93+12984.33+6249.38+141939.55+30665</f>
        <v>208962.19</v>
      </c>
      <c r="G238" s="18">
        <f>8052+4424.08+478.09+59917.63+19848.1</f>
        <v>92719.9</v>
      </c>
      <c r="H238" s="18">
        <f>4387.5+70.2+32.56+12918.95+2220.43+9550.19+1710</f>
        <v>30889.83</v>
      </c>
      <c r="I238" s="18">
        <f>129.19+55.81+2335.91+1313.11</f>
        <v>3834.0199999999995</v>
      </c>
      <c r="J238" s="18">
        <f>2562.48</f>
        <v>2562.48</v>
      </c>
      <c r="K238" s="18">
        <f>924</f>
        <v>924</v>
      </c>
      <c r="L238" s="19">
        <f t="shared" ref="L238:L244" si="4">SUM(F238:K238)</f>
        <v>339892.42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67954.51</f>
        <v>67954.509999999995</v>
      </c>
      <c r="G239" s="18">
        <f>7753.5+28717.35</f>
        <v>36470.85</v>
      </c>
      <c r="H239" s="18">
        <f>8004.29+2297.04</f>
        <v>10301.33</v>
      </c>
      <c r="I239" s="18">
        <f>4379.99+6788.54</f>
        <v>11168.529999999999</v>
      </c>
      <c r="J239" s="18">
        <f>720.73</f>
        <v>720.73</v>
      </c>
      <c r="K239" s="18"/>
      <c r="L239" s="19">
        <f t="shared" si="4"/>
        <v>126615.94999999998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55764.13+29820.44+96528.55+1080</f>
        <v>183193.12</v>
      </c>
      <c r="G240" s="18">
        <f>20652.59+6480.58+31670.63</f>
        <v>58803.8</v>
      </c>
      <c r="H240" s="18">
        <f>5555.87+6450.93+1861.27+5786.04</f>
        <v>19654.11</v>
      </c>
      <c r="I240" s="18">
        <f>2429.86+240.3</f>
        <v>2670.1600000000003</v>
      </c>
      <c r="J240" s="18">
        <f>3207.24</f>
        <v>3207.24</v>
      </c>
      <c r="K240" s="18">
        <f>6161.13+1000+1010.85+109.08+100</f>
        <v>8381.0600000000013</v>
      </c>
      <c r="L240" s="19">
        <f t="shared" si="4"/>
        <v>275909.48999999993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245991.63</v>
      </c>
      <c r="G241" s="18">
        <f>75657.73</f>
        <v>75657.73</v>
      </c>
      <c r="H241" s="18">
        <f>26670.6</f>
        <v>26670.6</v>
      </c>
      <c r="I241" s="18">
        <f>4436.69</f>
        <v>4436.6899999999996</v>
      </c>
      <c r="J241" s="18">
        <f>6525.66</f>
        <v>6525.66</v>
      </c>
      <c r="K241" s="18">
        <f>4620</f>
        <v>4620</v>
      </c>
      <c r="L241" s="19">
        <f t="shared" si="4"/>
        <v>363902.30999999994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53801.85</f>
        <v>53801.85</v>
      </c>
      <c r="G242" s="18">
        <f>20344.72</f>
        <v>20344.72</v>
      </c>
      <c r="H242" s="18">
        <f>1091.38+9218.83</f>
        <v>10310.209999999999</v>
      </c>
      <c r="I242" s="18"/>
      <c r="J242" s="18"/>
      <c r="K242" s="18">
        <f>344.33</f>
        <v>344.33</v>
      </c>
      <c r="L242" s="19">
        <f t="shared" si="4"/>
        <v>84801.11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59484.44+126938.25</f>
        <v>186422.69</v>
      </c>
      <c r="G243" s="18">
        <f>22098.06+62891.42</f>
        <v>84989.48</v>
      </c>
      <c r="H243" s="18">
        <f>116359.02+1507.64+10648.56</f>
        <v>128515.22</v>
      </c>
      <c r="I243" s="18">
        <f>39331.44+240592.7</f>
        <v>279924.14</v>
      </c>
      <c r="J243" s="18">
        <f>4628.26</f>
        <v>4628.26</v>
      </c>
      <c r="K243" s="18"/>
      <c r="L243" s="19">
        <f t="shared" si="4"/>
        <v>684479.79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21301.63+150.48+3348.83+12068.1+2521.84</f>
        <v>39390.880000000005</v>
      </c>
      <c r="G244" s="18">
        <f>4278.73+11.51+256.05+922.37+192.76</f>
        <v>5661.42</v>
      </c>
      <c r="H244" s="18">
        <f>6065.46</f>
        <v>6065.46</v>
      </c>
      <c r="I244" s="18">
        <f>9381.69</f>
        <v>9381.69</v>
      </c>
      <c r="J244" s="18">
        <f>13300</f>
        <v>13300</v>
      </c>
      <c r="K244" s="18">
        <f>55.3</f>
        <v>55.3</v>
      </c>
      <c r="L244" s="19">
        <f t="shared" si="4"/>
        <v>73854.750000000015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293.76</f>
        <v>293.76</v>
      </c>
      <c r="G245" s="18">
        <v>22.47</v>
      </c>
      <c r="H245" s="18"/>
      <c r="I245" s="18"/>
      <c r="J245" s="18"/>
      <c r="K245" s="18"/>
      <c r="L245" s="19">
        <f>SUM(F245:K245)</f>
        <v>316.23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3846679.7599999993</v>
      </c>
      <c r="G247" s="41">
        <f t="shared" si="5"/>
        <v>1465881.2899999998</v>
      </c>
      <c r="H247" s="41">
        <f t="shared" si="5"/>
        <v>911457.95999999985</v>
      </c>
      <c r="I247" s="41">
        <f t="shared" si="5"/>
        <v>445896.4</v>
      </c>
      <c r="J247" s="41">
        <f t="shared" si="5"/>
        <v>169553.16</v>
      </c>
      <c r="K247" s="41">
        <f t="shared" si="5"/>
        <v>24038.690000000002</v>
      </c>
      <c r="L247" s="41">
        <f t="shared" si="5"/>
        <v>6863507.2600000007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9897711.3000000007</v>
      </c>
      <c r="G257" s="41">
        <f t="shared" si="8"/>
        <v>3578783.9299999997</v>
      </c>
      <c r="H257" s="41">
        <f t="shared" si="8"/>
        <v>2089507.9499999997</v>
      </c>
      <c r="I257" s="41">
        <f t="shared" si="8"/>
        <v>971155.25</v>
      </c>
      <c r="J257" s="41">
        <f t="shared" si="8"/>
        <v>482806.48</v>
      </c>
      <c r="K257" s="41">
        <f t="shared" si="8"/>
        <v>44122.530000000006</v>
      </c>
      <c r="L257" s="41">
        <f t="shared" si="8"/>
        <v>17064087.440000001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9897711.3000000007</v>
      </c>
      <c r="G271" s="42">
        <f t="shared" si="11"/>
        <v>3578783.9299999997</v>
      </c>
      <c r="H271" s="42">
        <f t="shared" si="11"/>
        <v>2089507.9499999997</v>
      </c>
      <c r="I271" s="42">
        <f t="shared" si="11"/>
        <v>971155.25</v>
      </c>
      <c r="J271" s="42">
        <f t="shared" si="11"/>
        <v>482806.48</v>
      </c>
      <c r="K271" s="42">
        <f t="shared" si="11"/>
        <v>44122.530000000006</v>
      </c>
      <c r="L271" s="42">
        <f t="shared" si="11"/>
        <v>17064087.440000001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7068.75+24573.85</f>
        <v>31642.6</v>
      </c>
      <c r="G276" s="18">
        <f>1214.51+21625.1</f>
        <v>22839.609999999997</v>
      </c>
      <c r="H276" s="18">
        <f>21190.26+56549.38</f>
        <v>77739.64</v>
      </c>
      <c r="I276" s="18">
        <f>720.72+17921.1</f>
        <v>18641.82</v>
      </c>
      <c r="J276" s="18">
        <f>7524.61+2550</f>
        <v>10074.61</v>
      </c>
      <c r="K276" s="18"/>
      <c r="L276" s="19">
        <f>SUM(F276:K276)</f>
        <v>160938.27999999997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6856.01+362649.61</f>
        <v>369505.62</v>
      </c>
      <c r="G277" s="18">
        <f>531.53+81017.33</f>
        <v>81548.86</v>
      </c>
      <c r="H277" s="18"/>
      <c r="I277" s="18">
        <f>27223.13</f>
        <v>27223.13</v>
      </c>
      <c r="J277" s="18"/>
      <c r="K277" s="18">
        <f>264.66</f>
        <v>264.66000000000003</v>
      </c>
      <c r="L277" s="19">
        <f>SUM(F277:K277)</f>
        <v>478542.26999999996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114310.4</f>
        <v>114310.39999999999</v>
      </c>
      <c r="G279" s="18">
        <f>20194.57</f>
        <v>20194.57</v>
      </c>
      <c r="H279" s="18">
        <f>6990.88</f>
        <v>6990.88</v>
      </c>
      <c r="I279" s="18">
        <f>1399.17</f>
        <v>1399.17</v>
      </c>
      <c r="J279" s="18">
        <f>2200</f>
        <v>2200</v>
      </c>
      <c r="K279" s="18"/>
      <c r="L279" s="19">
        <f>SUM(F279:K279)</f>
        <v>145095.02000000002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158700.04+8064.5</f>
        <v>166764.54</v>
      </c>
      <c r="G281" s="18">
        <f>38937.68+4133.6</f>
        <v>43071.28</v>
      </c>
      <c r="H281" s="18">
        <f>16585</f>
        <v>16585</v>
      </c>
      <c r="I281" s="18"/>
      <c r="J281" s="18"/>
      <c r="K281" s="18"/>
      <c r="L281" s="19">
        <f t="shared" ref="L281:L287" si="12">SUM(F281:K281)</f>
        <v>226420.82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6335.16+1760.1+844.38</f>
        <v>8939.64</v>
      </c>
      <c r="I282" s="18"/>
      <c r="J282" s="18"/>
      <c r="K282" s="18"/>
      <c r="L282" s="19">
        <f t="shared" si="12"/>
        <v>8939.64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2584.58</f>
        <v>2584.58</v>
      </c>
      <c r="I287" s="18"/>
      <c r="J287" s="18"/>
      <c r="K287" s="18"/>
      <c r="L287" s="19">
        <f t="shared" si="12"/>
        <v>2584.58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682223.16</v>
      </c>
      <c r="G290" s="42">
        <f t="shared" si="13"/>
        <v>167654.32</v>
      </c>
      <c r="H290" s="42">
        <f t="shared" si="13"/>
        <v>112839.74</v>
      </c>
      <c r="I290" s="42">
        <f t="shared" si="13"/>
        <v>47264.119999999995</v>
      </c>
      <c r="J290" s="42">
        <f t="shared" si="13"/>
        <v>12274.61</v>
      </c>
      <c r="K290" s="42">
        <f t="shared" si="13"/>
        <v>264.66000000000003</v>
      </c>
      <c r="L290" s="41">
        <f t="shared" si="13"/>
        <v>1022520.6099999999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1993.75+11050</f>
        <v>13043.75</v>
      </c>
      <c r="G295" s="18">
        <f>342.55+2410.01</f>
        <v>2752.5600000000004</v>
      </c>
      <c r="H295" s="18">
        <f>5976.74</f>
        <v>5976.74</v>
      </c>
      <c r="I295" s="18">
        <f>203.28</f>
        <v>203.28</v>
      </c>
      <c r="J295" s="18">
        <f>2122.32</f>
        <v>2122.3200000000002</v>
      </c>
      <c r="K295" s="18"/>
      <c r="L295" s="19">
        <f>SUM(F295:K295)</f>
        <v>24098.65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4265.96</f>
        <v>4265.96</v>
      </c>
      <c r="G296" s="18">
        <f>330.72</f>
        <v>330.72</v>
      </c>
      <c r="H296" s="18"/>
      <c r="I296" s="18"/>
      <c r="J296" s="18"/>
      <c r="K296" s="18"/>
      <c r="L296" s="19">
        <f>SUM(F296:K296)</f>
        <v>4596.68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32241.4</f>
        <v>32241.4</v>
      </c>
      <c r="G298" s="18">
        <f>5695.9</f>
        <v>5695.9</v>
      </c>
      <c r="H298" s="18">
        <f>1971.79</f>
        <v>1971.79</v>
      </c>
      <c r="I298" s="18">
        <f>394.64</f>
        <v>394.64</v>
      </c>
      <c r="J298" s="18"/>
      <c r="K298" s="18"/>
      <c r="L298" s="19">
        <f>SUM(F298:K298)</f>
        <v>40303.730000000003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34783.57</f>
        <v>34783.57</v>
      </c>
      <c r="G300" s="18">
        <f>8534.29</f>
        <v>8534.2900000000009</v>
      </c>
      <c r="H300" s="18">
        <f>6687.5</f>
        <v>6687.5</v>
      </c>
      <c r="I300" s="18"/>
      <c r="J300" s="18"/>
      <c r="K300" s="18"/>
      <c r="L300" s="19">
        <f t="shared" ref="L300:L306" si="14">SUM(F300:K300)</f>
        <v>50005.36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4061+1128.27+557.68+2960.38</f>
        <v>8707.3300000000017</v>
      </c>
      <c r="I301" s="18"/>
      <c r="J301" s="18"/>
      <c r="K301" s="18"/>
      <c r="L301" s="19">
        <f t="shared" si="14"/>
        <v>8707.3300000000017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728.98</f>
        <v>728.98</v>
      </c>
      <c r="I306" s="18"/>
      <c r="J306" s="18"/>
      <c r="K306" s="18"/>
      <c r="L306" s="19">
        <f t="shared" si="14"/>
        <v>728.98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84334.68</v>
      </c>
      <c r="G309" s="42">
        <f t="shared" si="15"/>
        <v>17313.47</v>
      </c>
      <c r="H309" s="42">
        <f t="shared" si="15"/>
        <v>24072.34</v>
      </c>
      <c r="I309" s="42">
        <f t="shared" si="15"/>
        <v>597.91999999999996</v>
      </c>
      <c r="J309" s="42">
        <f t="shared" si="15"/>
        <v>2122.3200000000002</v>
      </c>
      <c r="K309" s="42">
        <f t="shared" si="15"/>
        <v>0</v>
      </c>
      <c r="L309" s="41">
        <f t="shared" si="15"/>
        <v>128440.73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1350</f>
        <v>1350</v>
      </c>
      <c r="G314" s="18">
        <f>294.44</f>
        <v>294.44</v>
      </c>
      <c r="H314" s="18"/>
      <c r="I314" s="18"/>
      <c r="J314" s="18"/>
      <c r="K314" s="18"/>
      <c r="L314" s="19">
        <f>SUM(F314:K314)</f>
        <v>1644.44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4113.61</f>
        <v>4113.6099999999997</v>
      </c>
      <c r="G315" s="18">
        <f>318.91</f>
        <v>318.91000000000003</v>
      </c>
      <c r="H315" s="18"/>
      <c r="I315" s="18"/>
      <c r="J315" s="18"/>
      <c r="K315" s="18"/>
      <c r="L315" s="19">
        <f>SUM(F315:K315)</f>
        <v>4432.5199999999995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3631.59</f>
        <v>3631.59</v>
      </c>
      <c r="I316" s="18">
        <f>11399</f>
        <v>11399</v>
      </c>
      <c r="J316" s="18">
        <f>64203.85</f>
        <v>64203.85</v>
      </c>
      <c r="K316" s="18">
        <f>6875</f>
        <v>6875</v>
      </c>
      <c r="L316" s="19">
        <f>SUM(F316:K316)</f>
        <v>86109.440000000002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1064.47</v>
      </c>
      <c r="G317" s="18">
        <v>126.4</v>
      </c>
      <c r="H317" s="18"/>
      <c r="I317" s="18"/>
      <c r="J317" s="18">
        <f>2000</f>
        <v>2000</v>
      </c>
      <c r="K317" s="18"/>
      <c r="L317" s="19">
        <f>SUM(F317:K317)</f>
        <v>3190.87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23913.71</f>
        <v>23913.71</v>
      </c>
      <c r="G319" s="18">
        <f>5867.32</f>
        <v>5867.32</v>
      </c>
      <c r="H319" s="18">
        <f>3477.5+4000</f>
        <v>7477.5</v>
      </c>
      <c r="I319" s="18">
        <f>785.53</f>
        <v>785.53</v>
      </c>
      <c r="J319" s="18"/>
      <c r="K319" s="18"/>
      <c r="L319" s="19">
        <f t="shared" ref="L319:L325" si="16">SUM(F319:K319)</f>
        <v>38044.06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5847.84+1624.71+557.68+2250</f>
        <v>10280.23</v>
      </c>
      <c r="I320" s="18"/>
      <c r="J320" s="18"/>
      <c r="K320" s="18"/>
      <c r="L320" s="19">
        <f t="shared" si="16"/>
        <v>10280.23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30441.79</v>
      </c>
      <c r="G328" s="42">
        <f t="shared" si="17"/>
        <v>6607.07</v>
      </c>
      <c r="H328" s="42">
        <f t="shared" si="17"/>
        <v>21389.32</v>
      </c>
      <c r="I328" s="42">
        <f t="shared" si="17"/>
        <v>12184.53</v>
      </c>
      <c r="J328" s="42">
        <f t="shared" si="17"/>
        <v>66203.850000000006</v>
      </c>
      <c r="K328" s="42">
        <f t="shared" si="17"/>
        <v>6875</v>
      </c>
      <c r="L328" s="41">
        <f t="shared" si="17"/>
        <v>143701.56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796999.63000000012</v>
      </c>
      <c r="G338" s="41">
        <f t="shared" si="20"/>
        <v>191574.86000000002</v>
      </c>
      <c r="H338" s="41">
        <f t="shared" si="20"/>
        <v>158301.40000000002</v>
      </c>
      <c r="I338" s="41">
        <f t="shared" si="20"/>
        <v>60046.569999999992</v>
      </c>
      <c r="J338" s="41">
        <f t="shared" si="20"/>
        <v>80600.78</v>
      </c>
      <c r="K338" s="41">
        <f t="shared" si="20"/>
        <v>7139.66</v>
      </c>
      <c r="L338" s="41">
        <f t="shared" si="20"/>
        <v>1294662.8999999999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796999.63000000012</v>
      </c>
      <c r="G352" s="41">
        <f>G338</f>
        <v>191574.86000000002</v>
      </c>
      <c r="H352" s="41">
        <f>H338</f>
        <v>158301.40000000002</v>
      </c>
      <c r="I352" s="41">
        <f>I338</f>
        <v>60046.569999999992</v>
      </c>
      <c r="J352" s="41">
        <f>J338</f>
        <v>80600.78</v>
      </c>
      <c r="K352" s="47">
        <f>K338+K351</f>
        <v>7139.66</v>
      </c>
      <c r="L352" s="41">
        <f>L338+L351</f>
        <v>1294662.8999999999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89736.99+6629.97</f>
        <v>96366.96</v>
      </c>
      <c r="G358" s="18">
        <f>15704.23+505.47</f>
        <v>16209.699999999999</v>
      </c>
      <c r="H358" s="18">
        <f>1502.59</f>
        <v>1502.59</v>
      </c>
      <c r="I358" s="18">
        <f>125098.17</f>
        <v>125098.17</v>
      </c>
      <c r="J358" s="18">
        <f>393.14</f>
        <v>393.14</v>
      </c>
      <c r="K358" s="18">
        <v>327.81</v>
      </c>
      <c r="L358" s="13">
        <f>SUM(F358:K358)</f>
        <v>239898.37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66661.76</f>
        <v>66661.759999999995</v>
      </c>
      <c r="G359" s="18">
        <f>11666</f>
        <v>11666</v>
      </c>
      <c r="H359" s="18">
        <f>1040.26</f>
        <v>1040.26</v>
      </c>
      <c r="I359" s="18">
        <v>86606.43</v>
      </c>
      <c r="J359" s="18">
        <f>272.17</f>
        <v>272.17</v>
      </c>
      <c r="K359" s="18">
        <v>226.95</v>
      </c>
      <c r="L359" s="19">
        <f>SUM(F359:K359)</f>
        <v>166473.57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99992.65</f>
        <v>99992.65</v>
      </c>
      <c r="G360" s="18">
        <f>17499.01</f>
        <v>17499.009999999998</v>
      </c>
      <c r="H360" s="18">
        <v>1309.96</v>
      </c>
      <c r="I360" s="18">
        <v>109059.95</v>
      </c>
      <c r="J360" s="18">
        <f>342.74</f>
        <v>342.74</v>
      </c>
      <c r="K360" s="18">
        <v>285.79000000000002</v>
      </c>
      <c r="L360" s="19">
        <f>SUM(F360:K360)</f>
        <v>228490.1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263021.37</v>
      </c>
      <c r="G362" s="47">
        <f t="shared" si="22"/>
        <v>45374.709999999992</v>
      </c>
      <c r="H362" s="47">
        <f t="shared" si="22"/>
        <v>3852.81</v>
      </c>
      <c r="I362" s="47">
        <f t="shared" si="22"/>
        <v>320764.55</v>
      </c>
      <c r="J362" s="47">
        <f t="shared" si="22"/>
        <v>1008.05</v>
      </c>
      <c r="K362" s="47">
        <f t="shared" si="22"/>
        <v>840.55</v>
      </c>
      <c r="L362" s="47">
        <f t="shared" si="22"/>
        <v>634862.04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113245.49</v>
      </c>
      <c r="G367" s="18">
        <v>78400.72</v>
      </c>
      <c r="H367" s="18">
        <v>98726.84</v>
      </c>
      <c r="I367" s="56">
        <f>SUM(F367:H367)</f>
        <v>290373.05000000005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11852.68</v>
      </c>
      <c r="G368" s="63">
        <v>8205.7099999999991</v>
      </c>
      <c r="H368" s="63">
        <v>10333.11</v>
      </c>
      <c r="I368" s="56">
        <f>SUM(F368:H368)</f>
        <v>30391.5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125098.17000000001</v>
      </c>
      <c r="G369" s="47">
        <f>SUM(G367:G368)</f>
        <v>86606.43</v>
      </c>
      <c r="H369" s="47">
        <f>SUM(H367:H368)</f>
        <v>109059.95</v>
      </c>
      <c r="I369" s="47">
        <f>SUM(I367:I368)</f>
        <v>320764.55000000005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6911.32</v>
      </c>
      <c r="G465" s="18">
        <v>19765.7</v>
      </c>
      <c r="H465" s="18">
        <v>14608.22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17061676.120000001</v>
      </c>
      <c r="G468" s="18">
        <v>635225.65</v>
      </c>
      <c r="H468" s="18">
        <v>1321548.93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-4500</v>
      </c>
      <c r="G469" s="18"/>
      <c r="H469" s="18">
        <v>4500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17057176.120000001</v>
      </c>
      <c r="G470" s="53">
        <f>SUM(G468:G469)</f>
        <v>635225.65</v>
      </c>
      <c r="H470" s="53">
        <f>SUM(H468:H469)</f>
        <v>1326048.93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17064087.440000001</v>
      </c>
      <c r="G472" s="18">
        <v>634862.04</v>
      </c>
      <c r="H472" s="18">
        <v>1294662.8999999999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17064087.440000001</v>
      </c>
      <c r="G474" s="53">
        <f>SUM(G472:G473)</f>
        <v>634862.04</v>
      </c>
      <c r="H474" s="53">
        <f>SUM(H472:H473)</f>
        <v>1294662.8999999999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20129.309999999939</v>
      </c>
      <c r="H476" s="53">
        <f>(H465+H470)- H474</f>
        <v>45994.25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29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5"/>
      <c r="I491" s="155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1713290</v>
      </c>
      <c r="G493" s="18">
        <v>577185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</v>
      </c>
      <c r="G494" s="18">
        <v>2.85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757334.4</v>
      </c>
      <c r="G495" s="18">
        <v>263556.93</v>
      </c>
      <c r="H495" s="18"/>
      <c r="I495" s="18"/>
      <c r="J495" s="18"/>
      <c r="K495" s="53">
        <f>SUM(F495:J495)</f>
        <v>1020891.3300000001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177337.04</v>
      </c>
      <c r="G497" s="18">
        <v>0</v>
      </c>
      <c r="H497" s="18"/>
      <c r="I497" s="18"/>
      <c r="J497" s="18"/>
      <c r="K497" s="53">
        <f t="shared" si="35"/>
        <v>177337.04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579997.36</v>
      </c>
      <c r="G498" s="204">
        <v>263556.93</v>
      </c>
      <c r="H498" s="204"/>
      <c r="I498" s="204"/>
      <c r="J498" s="204"/>
      <c r="K498" s="205">
        <f t="shared" si="35"/>
        <v>843554.29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51540.35</v>
      </c>
      <c r="G499" s="18">
        <v>85932.61</v>
      </c>
      <c r="H499" s="18"/>
      <c r="I499" s="18"/>
      <c r="J499" s="18"/>
      <c r="K499" s="53">
        <f t="shared" si="35"/>
        <v>137472.95999999999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631537.71</v>
      </c>
      <c r="G500" s="42">
        <f>SUM(G498:G499)</f>
        <v>349489.54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981027.25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185105.4</v>
      </c>
      <c r="G501" s="204">
        <v>16035.6</v>
      </c>
      <c r="H501" s="204"/>
      <c r="I501" s="204"/>
      <c r="J501" s="204"/>
      <c r="K501" s="205">
        <f t="shared" si="35"/>
        <v>201141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25407.17</v>
      </c>
      <c r="G502" s="18">
        <v>13008.64</v>
      </c>
      <c r="H502" s="18"/>
      <c r="I502" s="18"/>
      <c r="J502" s="18"/>
      <c r="K502" s="53">
        <f t="shared" si="35"/>
        <v>38415.81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210512.57</v>
      </c>
      <c r="G503" s="42">
        <f>SUM(G501:G502)</f>
        <v>29044.239999999998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239556.81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569965.59</v>
      </c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29327.11+12262.5+639288.11+6856.01</f>
        <v>687733.73</v>
      </c>
      <c r="G521" s="18">
        <f>938.24+5123.58+159827.31+531.53</f>
        <v>166420.66</v>
      </c>
      <c r="H521" s="18">
        <f>35583.18+88800.42+99591.87</f>
        <v>223975.47</v>
      </c>
      <c r="I521" s="18">
        <f>1188.23+376.26</f>
        <v>1564.49</v>
      </c>
      <c r="J521" s="18">
        <f>449.98+1727.83</f>
        <v>2177.81</v>
      </c>
      <c r="K521" s="18"/>
      <c r="L521" s="88">
        <f>SUM(F521:K521)</f>
        <v>1081872.1600000001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7122.3+7630+428555.19+4265.96</f>
        <v>447573.45</v>
      </c>
      <c r="G522" s="18">
        <f>583.8+1244.3+76710.66+330.72</f>
        <v>78869.48000000001</v>
      </c>
      <c r="H522" s="18">
        <f>22140.65+213038.64</f>
        <v>235179.29</v>
      </c>
      <c r="I522" s="18">
        <f>2102.69</f>
        <v>2102.69</v>
      </c>
      <c r="J522" s="18"/>
      <c r="K522" s="18"/>
      <c r="L522" s="88">
        <f>SUM(F522:K522)</f>
        <v>763724.91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5446.46+7357.5+523063.98+4113.61</f>
        <v>539981.54999999993</v>
      </c>
      <c r="G523" s="18">
        <f>562.95+951.52+132532.48+318.91</f>
        <v>134365.86000000002</v>
      </c>
      <c r="H523" s="18">
        <f>21349.91+513235.27</f>
        <v>534585.18000000005</v>
      </c>
      <c r="I523" s="18">
        <f>1502.08</f>
        <v>1502.08</v>
      </c>
      <c r="J523" s="18"/>
      <c r="K523" s="18"/>
      <c r="L523" s="88">
        <f>SUM(F523:K523)</f>
        <v>1210434.67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1675288.73</v>
      </c>
      <c r="G524" s="108">
        <f t="shared" ref="G524:L524" si="36">SUM(G521:G523)</f>
        <v>379656</v>
      </c>
      <c r="H524" s="108">
        <f t="shared" si="36"/>
        <v>993739.94000000006</v>
      </c>
      <c r="I524" s="108">
        <f t="shared" si="36"/>
        <v>5169.26</v>
      </c>
      <c r="J524" s="108">
        <f t="shared" si="36"/>
        <v>2177.81</v>
      </c>
      <c r="K524" s="108">
        <f t="shared" si="36"/>
        <v>0</v>
      </c>
      <c r="L524" s="89">
        <f t="shared" si="36"/>
        <v>3056031.74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81667.99+86168.72+12688.12+158700.04+8064.5</f>
        <v>347289.37</v>
      </c>
      <c r="G526" s="18">
        <f>38401.84+29359.8+970.66+38937.68+4133.6</f>
        <v>111803.58000000002</v>
      </c>
      <c r="H526" s="18">
        <f>216.08+163639.96+9005.08+16585</f>
        <v>189446.11999999997</v>
      </c>
      <c r="I526" s="18">
        <f>616.13+370.36</f>
        <v>986.49</v>
      </c>
      <c r="J526" s="18"/>
      <c r="K526" s="18"/>
      <c r="L526" s="88">
        <f>SUM(F526:K526)</f>
        <v>649525.55999999994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32930.64+18886.3+34783.57</f>
        <v>86600.510000000009</v>
      </c>
      <c r="G527" s="18">
        <f>15484.62+6435.02+8534.29</f>
        <v>30453.93</v>
      </c>
      <c r="H527" s="18">
        <f>47.36+38756.84+1110.22+6687.5</f>
        <v>46601.919999999998</v>
      </c>
      <c r="I527" s="18">
        <f>248.44+81.17</f>
        <v>329.61</v>
      </c>
      <c r="J527" s="18"/>
      <c r="K527" s="18"/>
      <c r="L527" s="88">
        <f>SUM(F527:K527)</f>
        <v>163985.96999999997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17123.93+12984.33+6249.38+23913.71</f>
        <v>60271.35</v>
      </c>
      <c r="G528" s="18">
        <f>8052+4424.08+478.09+5867.32</f>
        <v>18821.489999999998</v>
      </c>
      <c r="H528" s="18">
        <f>32.56+12918.95+2220.43+3477.5</f>
        <v>18649.440000000002</v>
      </c>
      <c r="I528" s="18">
        <f>129.19+55.81+331.33</f>
        <v>516.32999999999993</v>
      </c>
      <c r="J528" s="18"/>
      <c r="K528" s="18"/>
      <c r="L528" s="88">
        <f>SUM(F528:K528)</f>
        <v>98258.61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494161.23</v>
      </c>
      <c r="G529" s="89">
        <f t="shared" ref="G529:L529" si="37">SUM(G526:G528)</f>
        <v>161079</v>
      </c>
      <c r="H529" s="89">
        <f t="shared" si="37"/>
        <v>254697.47999999998</v>
      </c>
      <c r="I529" s="89">
        <f t="shared" si="37"/>
        <v>1832.4299999999998</v>
      </c>
      <c r="J529" s="89">
        <f t="shared" si="37"/>
        <v>0</v>
      </c>
      <c r="K529" s="89">
        <f t="shared" si="37"/>
        <v>0</v>
      </c>
      <c r="L529" s="89">
        <f t="shared" si="37"/>
        <v>911770.1399999999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49700.72</f>
        <v>49700.72</v>
      </c>
      <c r="G531" s="18">
        <f>10800.95</f>
        <v>10800.95</v>
      </c>
      <c r="H531" s="18">
        <f>3102.12</f>
        <v>3102.12</v>
      </c>
      <c r="I531" s="18">
        <f>1293.9</f>
        <v>1293.9000000000001</v>
      </c>
      <c r="J531" s="18"/>
      <c r="K531" s="18">
        <f>181.8</f>
        <v>181.8</v>
      </c>
      <c r="L531" s="88">
        <f>SUM(F531:K531)</f>
        <v>65079.490000000005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30924.9</f>
        <v>30924.9</v>
      </c>
      <c r="G532" s="18">
        <f>6720.6</f>
        <v>6720.6</v>
      </c>
      <c r="H532" s="18">
        <f>1930.21</f>
        <v>1930.21</v>
      </c>
      <c r="I532" s="18">
        <f>314.23</f>
        <v>314.23</v>
      </c>
      <c r="J532" s="18"/>
      <c r="K532" s="18">
        <f>113.12</f>
        <v>113.12</v>
      </c>
      <c r="L532" s="88">
        <f>SUM(F532:K532)</f>
        <v>40003.060000000005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29820.44</f>
        <v>29820.44</v>
      </c>
      <c r="G533" s="18">
        <f>6480.58</f>
        <v>6480.58</v>
      </c>
      <c r="H533" s="18">
        <f>1861.27</f>
        <v>1861.27</v>
      </c>
      <c r="I533" s="18">
        <f>240.3</f>
        <v>240.3</v>
      </c>
      <c r="J533" s="18"/>
      <c r="K533" s="18">
        <f>109.08</f>
        <v>109.08</v>
      </c>
      <c r="L533" s="88">
        <f>SUM(F533:K533)</f>
        <v>38511.67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110446.06</v>
      </c>
      <c r="G534" s="89">
        <f t="shared" ref="G534:L534" si="38">SUM(G531:G533)</f>
        <v>24002.130000000005</v>
      </c>
      <c r="H534" s="89">
        <f t="shared" si="38"/>
        <v>6893.6</v>
      </c>
      <c r="I534" s="89">
        <f t="shared" si="38"/>
        <v>1848.43</v>
      </c>
      <c r="J534" s="89">
        <f t="shared" si="38"/>
        <v>0</v>
      </c>
      <c r="K534" s="89">
        <f t="shared" si="38"/>
        <v>404</v>
      </c>
      <c r="L534" s="89">
        <f t="shared" si="38"/>
        <v>143594.22000000003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810.27+448.07</f>
        <v>1258.3399999999999</v>
      </c>
      <c r="G541" s="18">
        <f>61.99+34.28</f>
        <v>96.27000000000001</v>
      </c>
      <c r="H541" s="18"/>
      <c r="I541" s="18"/>
      <c r="J541" s="18"/>
      <c r="K541" s="18"/>
      <c r="L541" s="88">
        <f>SUM(F541:K541)</f>
        <v>1354.61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196.78</f>
        <v>196.78</v>
      </c>
      <c r="G542" s="18">
        <f>15.06</f>
        <v>15.06</v>
      </c>
      <c r="H542" s="18"/>
      <c r="I542" s="18"/>
      <c r="J542" s="18"/>
      <c r="K542" s="18"/>
      <c r="L542" s="88">
        <f>SUM(F542:K542)</f>
        <v>211.84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150.48+3348.83</f>
        <v>3499.31</v>
      </c>
      <c r="G543" s="18">
        <f>11.51+256.05</f>
        <v>267.56</v>
      </c>
      <c r="H543" s="18"/>
      <c r="I543" s="18"/>
      <c r="J543" s="18"/>
      <c r="K543" s="18"/>
      <c r="L543" s="88">
        <f>SUM(F543:K543)</f>
        <v>3766.87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4954.43</v>
      </c>
      <c r="G544" s="193">
        <f t="shared" ref="G544:L544" si="40">SUM(G541:G543)</f>
        <v>378.89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5333.32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2284850.4500000002</v>
      </c>
      <c r="G545" s="89">
        <f t="shared" ref="G545:L545" si="41">G524+G529+G534+G539+G544</f>
        <v>565116.02</v>
      </c>
      <c r="H545" s="89">
        <f t="shared" si="41"/>
        <v>1255331.02</v>
      </c>
      <c r="I545" s="89">
        <f t="shared" si="41"/>
        <v>8850.1200000000008</v>
      </c>
      <c r="J545" s="89">
        <f t="shared" si="41"/>
        <v>2177.81</v>
      </c>
      <c r="K545" s="89">
        <f t="shared" si="41"/>
        <v>404</v>
      </c>
      <c r="L545" s="89">
        <f t="shared" si="41"/>
        <v>4116729.42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1081872.1600000001</v>
      </c>
      <c r="G549" s="87">
        <f>L526</f>
        <v>649525.55999999994</v>
      </c>
      <c r="H549" s="87">
        <f>L531</f>
        <v>65079.490000000005</v>
      </c>
      <c r="I549" s="87">
        <f>L536</f>
        <v>0</v>
      </c>
      <c r="J549" s="87">
        <f>L541</f>
        <v>1354.61</v>
      </c>
      <c r="K549" s="87">
        <f>SUM(F549:J549)</f>
        <v>1797831.8200000003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763724.91</v>
      </c>
      <c r="G550" s="87">
        <f>L527</f>
        <v>163985.96999999997</v>
      </c>
      <c r="H550" s="87">
        <f>L532</f>
        <v>40003.060000000005</v>
      </c>
      <c r="I550" s="87">
        <f>L537</f>
        <v>0</v>
      </c>
      <c r="J550" s="87">
        <f>L542</f>
        <v>211.84</v>
      </c>
      <c r="K550" s="87">
        <f>SUM(F550:J550)</f>
        <v>967925.78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1210434.67</v>
      </c>
      <c r="G551" s="87">
        <f>L528</f>
        <v>98258.61</v>
      </c>
      <c r="H551" s="87">
        <f>L533</f>
        <v>38511.67</v>
      </c>
      <c r="I551" s="87">
        <f>L538</f>
        <v>0</v>
      </c>
      <c r="J551" s="87">
        <f>L543</f>
        <v>3766.87</v>
      </c>
      <c r="K551" s="87">
        <f>SUM(F551:J551)</f>
        <v>1350971.82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3056031.74</v>
      </c>
      <c r="G552" s="89">
        <f t="shared" si="42"/>
        <v>911770.1399999999</v>
      </c>
      <c r="H552" s="89">
        <f t="shared" si="42"/>
        <v>143594.22000000003</v>
      </c>
      <c r="I552" s="89">
        <f t="shared" si="42"/>
        <v>0</v>
      </c>
      <c r="J552" s="89">
        <f t="shared" si="42"/>
        <v>5333.32</v>
      </c>
      <c r="K552" s="89">
        <f t="shared" si="42"/>
        <v>4116729.4200000009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362649.61</f>
        <v>362649.61</v>
      </c>
      <c r="G557" s="18">
        <f>81017.33</f>
        <v>81017.33</v>
      </c>
      <c r="H557" s="18"/>
      <c r="I557" s="18">
        <f>27223.13</f>
        <v>27223.13</v>
      </c>
      <c r="J557" s="18"/>
      <c r="K557" s="18">
        <f>264.66</f>
        <v>264.66000000000003</v>
      </c>
      <c r="L557" s="88">
        <f>SUM(F557:K557)</f>
        <v>471154.73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f>82126</f>
        <v>82126</v>
      </c>
      <c r="I559" s="18"/>
      <c r="J559" s="18"/>
      <c r="K559" s="18"/>
      <c r="L559" s="88">
        <f>SUM(F559:K559)</f>
        <v>82126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362649.61</v>
      </c>
      <c r="G560" s="108">
        <f t="shared" si="43"/>
        <v>81017.33</v>
      </c>
      <c r="H560" s="108">
        <f t="shared" si="43"/>
        <v>82126</v>
      </c>
      <c r="I560" s="108">
        <f t="shared" si="43"/>
        <v>27223.13</v>
      </c>
      <c r="J560" s="108">
        <f t="shared" si="43"/>
        <v>0</v>
      </c>
      <c r="K560" s="108">
        <f t="shared" si="43"/>
        <v>264.66000000000003</v>
      </c>
      <c r="L560" s="89">
        <f t="shared" si="43"/>
        <v>553280.73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362649.61</v>
      </c>
      <c r="G571" s="89">
        <f t="shared" ref="G571:L571" si="46">G560+G565+G570</f>
        <v>81017.33</v>
      </c>
      <c r="H571" s="89">
        <f t="shared" si="46"/>
        <v>82126</v>
      </c>
      <c r="I571" s="89">
        <f t="shared" si="46"/>
        <v>27223.13</v>
      </c>
      <c r="J571" s="89">
        <f t="shared" si="46"/>
        <v>0</v>
      </c>
      <c r="K571" s="89">
        <f t="shared" si="46"/>
        <v>264.66000000000003</v>
      </c>
      <c r="L571" s="89">
        <f t="shared" si="46"/>
        <v>553280.73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34084.800000000003</v>
      </c>
      <c r="H578" s="18"/>
      <c r="I578" s="87">
        <f t="shared" si="47"/>
        <v>34084.800000000003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40680.19</f>
        <v>40680.19</v>
      </c>
      <c r="I579" s="87">
        <f t="shared" si="47"/>
        <v>40680.19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88800.42+99591.87</f>
        <v>188392.28999999998</v>
      </c>
      <c r="G582" s="18">
        <f>213038.64</f>
        <v>213038.64</v>
      </c>
      <c r="H582" s="18">
        <v>472555.08</v>
      </c>
      <c r="I582" s="87">
        <f t="shared" si="47"/>
        <v>873986.01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225300.23</f>
        <v>225300.23</v>
      </c>
      <c r="I591" s="18">
        <f>108765.63</f>
        <v>108765.63</v>
      </c>
      <c r="J591" s="18">
        <f>54382.81</f>
        <v>54382.81</v>
      </c>
      <c r="K591" s="104">
        <f t="shared" ref="K591:K597" si="48">SUM(H591:J591)</f>
        <v>388448.67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872.26+482.35</f>
        <v>1354.6100000000001</v>
      </c>
      <c r="I592" s="18">
        <f>211.84</f>
        <v>211.84</v>
      </c>
      <c r="J592" s="18">
        <f>161.99+3604.88</f>
        <v>3766.87</v>
      </c>
      <c r="K592" s="104">
        <f t="shared" si="48"/>
        <v>5333.32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145.49</f>
        <v>145.49</v>
      </c>
      <c r="I594" s="18">
        <f>960.31</f>
        <v>960.31</v>
      </c>
      <c r="J594" s="18">
        <f>12990.47</f>
        <v>12990.47</v>
      </c>
      <c r="K594" s="104">
        <f t="shared" si="48"/>
        <v>14096.269999999999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1973.53</f>
        <v>1973.53</v>
      </c>
      <c r="I595" s="18">
        <f>2928.39</f>
        <v>2928.39</v>
      </c>
      <c r="J595" s="18">
        <f>2714.6</f>
        <v>2714.6</v>
      </c>
      <c r="K595" s="104">
        <f t="shared" si="48"/>
        <v>7616.52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3452.43</f>
        <v>3452.43</v>
      </c>
      <c r="I597" s="18">
        <f>973.76</f>
        <v>973.76</v>
      </c>
      <c r="J597" s="18">
        <v>0</v>
      </c>
      <c r="K597" s="104">
        <f t="shared" si="48"/>
        <v>4426.1899999999996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232226.28999999998</v>
      </c>
      <c r="I598" s="108">
        <f>SUM(I591:I597)</f>
        <v>113839.93</v>
      </c>
      <c r="J598" s="108">
        <f>SUM(J591:J597)</f>
        <v>73854.75</v>
      </c>
      <c r="K598" s="108">
        <f>SUM(K591:K597)</f>
        <v>419920.97000000003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198128.63</v>
      </c>
      <c r="I604" s="18">
        <f>129521.62</f>
        <v>129521.62</v>
      </c>
      <c r="J604" s="18">
        <f>235757.01</f>
        <v>235757.01</v>
      </c>
      <c r="K604" s="104">
        <f>SUM(H604:J604)</f>
        <v>563407.26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198128.63</v>
      </c>
      <c r="I605" s="108">
        <f>SUM(I602:I604)</f>
        <v>129521.62</v>
      </c>
      <c r="J605" s="108">
        <f>SUM(J602:J604)</f>
        <v>235757.01</v>
      </c>
      <c r="K605" s="108">
        <f>SUM(K602:K604)</f>
        <v>563407.26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20129.309999999998</v>
      </c>
      <c r="H618" s="109">
        <f>SUM(G52)</f>
        <v>20129.310000000001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45994.25</v>
      </c>
      <c r="H619" s="109">
        <f>SUM(H52)</f>
        <v>45994.25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20129.310000000001</v>
      </c>
      <c r="H623" s="109">
        <f>G476</f>
        <v>20129.309999999939</v>
      </c>
      <c r="I623" s="121" t="s">
        <v>102</v>
      </c>
      <c r="J623" s="109">
        <f t="shared" si="50"/>
        <v>6.184563972055912E-11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45994.25</v>
      </c>
      <c r="H624" s="109">
        <f>H476</f>
        <v>45994.25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17061676.120000001</v>
      </c>
      <c r="H627" s="104">
        <f>SUM(F468)</f>
        <v>17061676.120000001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635225.64999999991</v>
      </c>
      <c r="H628" s="104">
        <f>SUM(G468)</f>
        <v>635225.65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1321548.93</v>
      </c>
      <c r="H629" s="104">
        <f>SUM(H468)</f>
        <v>1321548.93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17064087.440000001</v>
      </c>
      <c r="H632" s="104">
        <f>SUM(F472)</f>
        <v>17064087.440000001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1294662.8999999999</v>
      </c>
      <c r="H633" s="104">
        <f>SUM(H472)</f>
        <v>1294662.8999999999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320764.55</v>
      </c>
      <c r="H634" s="104">
        <f>I369</f>
        <v>320764.55000000005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634862.04</v>
      </c>
      <c r="H635" s="104">
        <f>SUM(G472)</f>
        <v>634862.04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419920.97000000003</v>
      </c>
      <c r="H647" s="104">
        <f>L208+L226+L244</f>
        <v>419920.97000000003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563407.26</v>
      </c>
      <c r="H648" s="104">
        <f>(J257+J338)-(J255+J336)</f>
        <v>563407.26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232226.29</v>
      </c>
      <c r="H649" s="104">
        <f>H598</f>
        <v>232226.28999999998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113839.93000000002</v>
      </c>
      <c r="H650" s="104">
        <f>I598</f>
        <v>113839.93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73854.750000000015</v>
      </c>
      <c r="H651" s="104">
        <f>J598</f>
        <v>73854.75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7242095.4999999991</v>
      </c>
      <c r="G660" s="19">
        <f>(L229+L309+L359)</f>
        <v>4515817.9600000009</v>
      </c>
      <c r="H660" s="19">
        <f>(L247+L328+L360)</f>
        <v>7235698.9199999999</v>
      </c>
      <c r="I660" s="19">
        <f>SUM(F660:H660)</f>
        <v>18993612.380000003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83458.215562564728</v>
      </c>
      <c r="G661" s="19">
        <f>(L359/IF(SUM(L358:L360)=0,1,SUM(L358:L360))*(SUM(G97:G110)))</f>
        <v>57914.470575726329</v>
      </c>
      <c r="H661" s="19">
        <f>(L360/IF(SUM(L358:L360)=0,1,SUM(L358:L360))*(SUM(G97:G110)))</f>
        <v>79489.393861708901</v>
      </c>
      <c r="I661" s="19">
        <f>SUM(F661:H661)</f>
        <v>220862.07999999996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179710.87</v>
      </c>
      <c r="G662" s="19">
        <f>(L226+L306)-(J226+J306)</f>
        <v>87968.910000000018</v>
      </c>
      <c r="H662" s="19">
        <f>(L244+L325)-(J244+J325)</f>
        <v>60554.750000000015</v>
      </c>
      <c r="I662" s="19">
        <f>SUM(F662:H662)</f>
        <v>328234.53000000003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386520.92</v>
      </c>
      <c r="G663" s="199">
        <f>SUM(G575:G587)+SUM(I602:I604)+L612</f>
        <v>376645.06</v>
      </c>
      <c r="H663" s="199">
        <f>SUM(H575:H587)+SUM(J602:J604)+L613</f>
        <v>748992.28</v>
      </c>
      <c r="I663" s="19">
        <f>SUM(F663:H663)</f>
        <v>1512158.26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6592405.4944374347</v>
      </c>
      <c r="G664" s="19">
        <f>G660-SUM(G661:G663)</f>
        <v>3993289.5194242746</v>
      </c>
      <c r="H664" s="19">
        <f>H660-SUM(H661:H663)</f>
        <v>6346662.4961382914</v>
      </c>
      <c r="I664" s="19">
        <f>I660-SUM(I661:I663)</f>
        <v>16932357.510000002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471.11</v>
      </c>
      <c r="G665" s="248">
        <v>309.74</v>
      </c>
      <c r="H665" s="248">
        <v>434.15</v>
      </c>
      <c r="I665" s="19">
        <f>SUM(F665:H665)</f>
        <v>1215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13993.35</v>
      </c>
      <c r="G667" s="19">
        <f>ROUND(G664/G665,2)</f>
        <v>12892.39</v>
      </c>
      <c r="H667" s="19">
        <f>ROUND(H664/H665,2)</f>
        <v>14618.59</v>
      </c>
      <c r="I667" s="19">
        <f>ROUND(I664/I665,2)</f>
        <v>13936.1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6.45</v>
      </c>
      <c r="I670" s="19">
        <f>SUM(F670:H670)</f>
        <v>6.45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13993.35</v>
      </c>
      <c r="G672" s="19">
        <f>ROUND((G664+G669)/(G665+G670),2)</f>
        <v>12892.39</v>
      </c>
      <c r="H672" s="19">
        <f>ROUND((H664+H669)/(H665+H670),2)</f>
        <v>14404.59</v>
      </c>
      <c r="I672" s="19">
        <f>ROUND((I664+I669)/(I665+I670),2)</f>
        <v>13862.51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85" zoomScaleNormal="85"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Berlin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5095747.6099999994</v>
      </c>
      <c r="C9" s="229">
        <f>'DOE25'!G197+'DOE25'!G215+'DOE25'!G233+'DOE25'!G276+'DOE25'!G295+'DOE25'!G314</f>
        <v>2060515.1800000002</v>
      </c>
    </row>
    <row r="10" spans="1:3" x14ac:dyDescent="0.2">
      <c r="A10" t="s">
        <v>779</v>
      </c>
      <c r="B10" s="240">
        <f>7478.01+571473+4216536.59+32609+16320+34000</f>
        <v>4878416.5999999996</v>
      </c>
      <c r="C10" s="240">
        <f>900727.83+375063.35+682018.77+19285+43243.14+36088.15</f>
        <v>2056426.2399999998</v>
      </c>
    </row>
    <row r="11" spans="1:3" x14ac:dyDescent="0.2">
      <c r="A11" t="s">
        <v>780</v>
      </c>
      <c r="B11" s="240">
        <f>134253.3</f>
        <v>134253.29999999999</v>
      </c>
      <c r="C11" s="240">
        <f>1376.85+1149.04</f>
        <v>2525.89</v>
      </c>
    </row>
    <row r="12" spans="1:3" x14ac:dyDescent="0.2">
      <c r="A12" t="s">
        <v>781</v>
      </c>
      <c r="B12" s="240">
        <f>82912.71+165</f>
        <v>83077.710000000006</v>
      </c>
      <c r="C12" s="240">
        <f>852.01+711.04</f>
        <v>1563.05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5095747.6099999994</v>
      </c>
      <c r="C13" s="231">
        <f>SUM(C10:C12)</f>
        <v>2060515.1799999997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2041938.34</v>
      </c>
      <c r="C18" s="229">
        <f>'DOE25'!G198+'DOE25'!G216+'DOE25'!G234+'DOE25'!G277+'DOE25'!G296+'DOE25'!G315</f>
        <v>460673.32999999996</v>
      </c>
    </row>
    <row r="19" spans="1:3" x14ac:dyDescent="0.2">
      <c r="A19" t="s">
        <v>779</v>
      </c>
      <c r="B19" s="240">
        <f>51628.75+686131.82+133562.4+4000</f>
        <v>875322.97</v>
      </c>
      <c r="C19" s="240">
        <f>148791.85+53720.45+105422.8+34410.65+9439.73+18951.61+294.5+1.35</f>
        <v>371032.93999999994</v>
      </c>
    </row>
    <row r="20" spans="1:3" x14ac:dyDescent="0.2">
      <c r="A20" t="s">
        <v>780</v>
      </c>
      <c r="B20" s="240">
        <f>910278.16+228723.28</f>
        <v>1139001.44</v>
      </c>
      <c r="C20" s="240">
        <f>69636.28+17497.33+384.98</f>
        <v>87518.59</v>
      </c>
    </row>
    <row r="21" spans="1:3" x14ac:dyDescent="0.2">
      <c r="A21" t="s">
        <v>781</v>
      </c>
      <c r="B21" s="240">
        <f>27250+363.93</f>
        <v>27613.93</v>
      </c>
      <c r="C21" s="240">
        <f>2084.63+27.84+9.33</f>
        <v>2121.8000000000002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2041938.3399999999</v>
      </c>
      <c r="C22" s="231">
        <f>SUM(C19:C21)</f>
        <v>460673.3299999999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421689.69</v>
      </c>
      <c r="C27" s="234">
        <f>'DOE25'!G199+'DOE25'!G217+'DOE25'!G235+'DOE25'!G278+'DOE25'!G297+'DOE25'!G316</f>
        <v>180078.06</v>
      </c>
    </row>
    <row r="28" spans="1:3" x14ac:dyDescent="0.2">
      <c r="A28" t="s">
        <v>779</v>
      </c>
      <c r="B28" s="240">
        <f>398559+4000</f>
        <v>402559</v>
      </c>
      <c r="C28" s="240">
        <f>93258.4+28920.09+56436.07</f>
        <v>178614.56</v>
      </c>
    </row>
    <row r="29" spans="1:3" x14ac:dyDescent="0.2">
      <c r="A29" t="s">
        <v>780</v>
      </c>
      <c r="B29" s="240">
        <f>19130.69</f>
        <v>19130.689999999999</v>
      </c>
      <c r="C29" s="240">
        <f>1463.5</f>
        <v>1463.5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421689.69</v>
      </c>
      <c r="C31" s="231">
        <f>SUM(C28:C30)</f>
        <v>180078.06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327282.70999999996</v>
      </c>
      <c r="C36" s="235">
        <f>'DOE25'!G200+'DOE25'!G218+'DOE25'!G236+'DOE25'!G279+'DOE25'!G298+'DOE25'!G317</f>
        <v>55587.37</v>
      </c>
    </row>
    <row r="37" spans="1:3" x14ac:dyDescent="0.2">
      <c r="A37" t="s">
        <v>779</v>
      </c>
      <c r="B37" s="240">
        <f>32046.34</f>
        <v>32046.34</v>
      </c>
      <c r="C37" s="240">
        <f>2449.97+4416.81</f>
        <v>6866.7800000000007</v>
      </c>
    </row>
    <row r="38" spans="1:3" x14ac:dyDescent="0.2">
      <c r="A38" t="s">
        <v>780</v>
      </c>
      <c r="B38" s="240">
        <f>16855.1</f>
        <v>16855.099999999999</v>
      </c>
      <c r="C38" s="240">
        <f>1288.58</f>
        <v>1288.58</v>
      </c>
    </row>
    <row r="39" spans="1:3" x14ac:dyDescent="0.2">
      <c r="A39" t="s">
        <v>781</v>
      </c>
      <c r="B39" s="240">
        <f>3959.47+127870+146551.8</f>
        <v>278381.27</v>
      </c>
      <c r="C39" s="240">
        <f>9998.16+11543.38+25890.47</f>
        <v>47432.01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327282.71000000002</v>
      </c>
      <c r="C40" s="231">
        <f>SUM(C37:C39)</f>
        <v>55587.37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27" sqref="K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Berlin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11790882.359999999</v>
      </c>
      <c r="D5" s="20">
        <f>SUM('DOE25'!L197:L200)+SUM('DOE25'!L215:L218)+SUM('DOE25'!L233:L236)-F5-G5</f>
        <v>11424380.969999999</v>
      </c>
      <c r="E5" s="243"/>
      <c r="F5" s="255">
        <f>SUM('DOE25'!J197:J200)+SUM('DOE25'!J215:J218)+SUM('DOE25'!J233:J236)</f>
        <v>355077.42999999993</v>
      </c>
      <c r="G5" s="53">
        <f>SUM('DOE25'!K197:K200)+SUM('DOE25'!K215:K218)+SUM('DOE25'!K233:K236)</f>
        <v>11423.96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1235924.25</v>
      </c>
      <c r="D6" s="20">
        <f>'DOE25'!L202+'DOE25'!L220+'DOE25'!L238-F6-G6</f>
        <v>1230896.73</v>
      </c>
      <c r="E6" s="243"/>
      <c r="F6" s="255">
        <f>'DOE25'!J202+'DOE25'!J220+'DOE25'!J238</f>
        <v>2932.52</v>
      </c>
      <c r="G6" s="53">
        <f>'DOE25'!K202+'DOE25'!K220+'DOE25'!K238</f>
        <v>2095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326708.28999999998</v>
      </c>
      <c r="D7" s="20">
        <f>'DOE25'!L203+'DOE25'!L221+'DOE25'!L239-F7-G7</f>
        <v>324791.78999999998</v>
      </c>
      <c r="E7" s="243"/>
      <c r="F7" s="255">
        <f>'DOE25'!J203+'DOE25'!J221+'DOE25'!J239</f>
        <v>1505.58</v>
      </c>
      <c r="G7" s="53">
        <f>'DOE25'!K203+'DOE25'!K221+'DOE25'!K239</f>
        <v>410.92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313775.37999999983</v>
      </c>
      <c r="D8" s="243"/>
      <c r="E8" s="20">
        <f>'DOE25'!L204+'DOE25'!L222+'DOE25'!L240-F8-G8-D9-D11</f>
        <v>283440.19999999984</v>
      </c>
      <c r="F8" s="255">
        <f>'DOE25'!J204+'DOE25'!J222+'DOE25'!J240</f>
        <v>8909</v>
      </c>
      <c r="G8" s="53">
        <f>'DOE25'!K204+'DOE25'!K222+'DOE25'!K240</f>
        <v>21426.18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20394.54</v>
      </c>
      <c r="D9" s="244">
        <v>20394.54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229711.2</v>
      </c>
      <c r="D11" s="244">
        <v>229711.2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818549.46</v>
      </c>
      <c r="D12" s="20">
        <f>'DOE25'!L205+'DOE25'!L223+'DOE25'!L241-F12-G12</f>
        <v>804608.79999999993</v>
      </c>
      <c r="E12" s="243"/>
      <c r="F12" s="255">
        <f>'DOE25'!J205+'DOE25'!J223+'DOE25'!J241</f>
        <v>6525.66</v>
      </c>
      <c r="G12" s="53">
        <f>'DOE25'!K205+'DOE25'!K223+'DOE25'!K241</f>
        <v>7415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235558.63</v>
      </c>
      <c r="D13" s="243"/>
      <c r="E13" s="20">
        <f>'DOE25'!L206+'DOE25'!L224+'DOE25'!L242-F13-G13</f>
        <v>234602.16</v>
      </c>
      <c r="F13" s="255">
        <f>'DOE25'!J206+'DOE25'!J224+'DOE25'!J242</f>
        <v>0</v>
      </c>
      <c r="G13" s="53">
        <f>'DOE25'!K206+'DOE25'!K224+'DOE25'!K242</f>
        <v>956.47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1671783.9300000002</v>
      </c>
      <c r="D14" s="20">
        <f>'DOE25'!L207+'DOE25'!L225+'DOE25'!L243-F14-G14</f>
        <v>1658927.6400000001</v>
      </c>
      <c r="E14" s="243"/>
      <c r="F14" s="255">
        <f>'DOE25'!J207+'DOE25'!J225+'DOE25'!J243</f>
        <v>12856.29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419920.97000000003</v>
      </c>
      <c r="D15" s="20">
        <f>'DOE25'!L208+'DOE25'!L226+'DOE25'!L244-F15-G15</f>
        <v>324525.97000000003</v>
      </c>
      <c r="E15" s="243"/>
      <c r="F15" s="255">
        <f>'DOE25'!J208+'DOE25'!J226+'DOE25'!J244</f>
        <v>95000</v>
      </c>
      <c r="G15" s="53">
        <f>'DOE25'!K208+'DOE25'!K226+'DOE25'!K244</f>
        <v>395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878.43000000000006</v>
      </c>
      <c r="D16" s="243"/>
      <c r="E16" s="20">
        <f>'DOE25'!L209+'DOE25'!L227+'DOE25'!L245-F16-G16</f>
        <v>878.43000000000006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344488.99</v>
      </c>
      <c r="D29" s="20">
        <f>'DOE25'!L358+'DOE25'!L359+'DOE25'!L360-'DOE25'!I367-F29-G29</f>
        <v>342640.39</v>
      </c>
      <c r="E29" s="243"/>
      <c r="F29" s="255">
        <f>'DOE25'!J358+'DOE25'!J359+'DOE25'!J360</f>
        <v>1008.05</v>
      </c>
      <c r="G29" s="53">
        <f>'DOE25'!K358+'DOE25'!K359+'DOE25'!K360</f>
        <v>840.55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1294662.8999999999</v>
      </c>
      <c r="D31" s="20">
        <f>'DOE25'!L290+'DOE25'!L309+'DOE25'!L328+'DOE25'!L333+'DOE25'!L334+'DOE25'!L335-F31-G31</f>
        <v>1206922.46</v>
      </c>
      <c r="E31" s="243"/>
      <c r="F31" s="255">
        <f>'DOE25'!J290+'DOE25'!J309+'DOE25'!J328+'DOE25'!J333+'DOE25'!J334+'DOE25'!J335</f>
        <v>80600.78</v>
      </c>
      <c r="G31" s="53">
        <f>'DOE25'!K290+'DOE25'!K309+'DOE25'!K328+'DOE25'!K333+'DOE25'!K334+'DOE25'!K335</f>
        <v>7139.66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17567800.489999998</v>
      </c>
      <c r="E33" s="246">
        <f>SUM(E5:E31)</f>
        <v>518920.78999999986</v>
      </c>
      <c r="F33" s="246">
        <f>SUM(F5:F31)</f>
        <v>564415.30999999994</v>
      </c>
      <c r="G33" s="246">
        <f>SUM(G5:G31)</f>
        <v>52102.740000000005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518920.78999999986</v>
      </c>
      <c r="E35" s="249"/>
    </row>
    <row r="36" spans="2:8" ht="12" thickTop="1" x14ac:dyDescent="0.2">
      <c r="B36" t="s">
        <v>815</v>
      </c>
      <c r="D36" s="20">
        <f>D33</f>
        <v>17567800.489999998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L151" sqref="L1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20129.309999999998</v>
      </c>
      <c r="E8" s="95">
        <f>'DOE25'!H9</f>
        <v>45994.25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20129.309999999998</v>
      </c>
      <c r="E18" s="41">
        <f>SUM(E8:E17)</f>
        <v>45994.25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20129.310000000001</v>
      </c>
      <c r="E47" s="95">
        <f>'DOE25'!H48</f>
        <v>45994.25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0</v>
      </c>
      <c r="D50" s="41">
        <f>SUM(D34:D49)</f>
        <v>20129.310000000001</v>
      </c>
      <c r="E50" s="41">
        <f>SUM(E34:E49)</f>
        <v>45994.25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0</v>
      </c>
      <c r="D51" s="41">
        <f>D50+D31</f>
        <v>20129.310000000001</v>
      </c>
      <c r="E51" s="41">
        <f>E50+E31</f>
        <v>45994.25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3642540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1552520.7999999998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3000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220862.07999999999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16048.03</v>
      </c>
      <c r="D61" s="95">
        <f>SUM('DOE25'!G98:G110)</f>
        <v>0</v>
      </c>
      <c r="E61" s="95">
        <f>SUM('DOE25'!H98:H110)</f>
        <v>61154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1571568.8299999998</v>
      </c>
      <c r="D62" s="130">
        <f>SUM(D57:D61)</f>
        <v>220862.07999999999</v>
      </c>
      <c r="E62" s="130">
        <f>SUM(E57:E61)</f>
        <v>61154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5214108.83</v>
      </c>
      <c r="D63" s="22">
        <f>D56+D62</f>
        <v>220862.07999999999</v>
      </c>
      <c r="E63" s="22">
        <f>E56+E62</f>
        <v>61154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10414882.68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724733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11139615.68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165970.26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89962.93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64099.12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8606.15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320032.31</v>
      </c>
      <c r="D78" s="130">
        <f>SUM(D72:D77)</f>
        <v>8606.15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11459647.99</v>
      </c>
      <c r="D81" s="130">
        <f>SUM(D79:D80)+D78+D70</f>
        <v>8606.15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345764.95</v>
      </c>
      <c r="D88" s="95">
        <f>SUM('DOE25'!G153:G161)</f>
        <v>405757.42</v>
      </c>
      <c r="E88" s="95">
        <f>SUM('DOE25'!H153:H161)</f>
        <v>1260394.93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25073.81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17080.54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387919.3</v>
      </c>
      <c r="D91" s="131">
        <f>SUM(D85:D90)</f>
        <v>405757.42</v>
      </c>
      <c r="E91" s="131">
        <f>SUM(E85:E90)</f>
        <v>1260394.93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17061676.120000001</v>
      </c>
      <c r="D104" s="86">
        <f>D63+D81+D91+D103</f>
        <v>635225.64999999991</v>
      </c>
      <c r="E104" s="86">
        <f>E63+E81+E91+E103</f>
        <v>1321548.93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7672907.7300000004</v>
      </c>
      <c r="D109" s="24" t="s">
        <v>289</v>
      </c>
      <c r="E109" s="95">
        <f>('DOE25'!L276)+('DOE25'!L295)+('DOE25'!L314)</f>
        <v>186681.36999999997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3125741</v>
      </c>
      <c r="D110" s="24" t="s">
        <v>289</v>
      </c>
      <c r="E110" s="95">
        <f>('DOE25'!L277)+('DOE25'!L296)+('DOE25'!L315)</f>
        <v>487571.47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649231.74</v>
      </c>
      <c r="D111" s="24" t="s">
        <v>289</v>
      </c>
      <c r="E111" s="95">
        <f>('DOE25'!L278)+('DOE25'!L297)+('DOE25'!L316)</f>
        <v>86109.440000000002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343001.89</v>
      </c>
      <c r="D112" s="24" t="s">
        <v>289</v>
      </c>
      <c r="E112" s="95">
        <f>+('DOE25'!L279)+('DOE25'!L298)+('DOE25'!L317)</f>
        <v>188589.62000000002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11790882.360000001</v>
      </c>
      <c r="D115" s="86">
        <f>SUM(D109:D114)</f>
        <v>0</v>
      </c>
      <c r="E115" s="86">
        <f>SUM(E109:E114)</f>
        <v>948951.9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1235924.25</v>
      </c>
      <c r="D118" s="24" t="s">
        <v>289</v>
      </c>
      <c r="E118" s="95">
        <f>+('DOE25'!L281)+('DOE25'!L300)+('DOE25'!L319)</f>
        <v>314470.24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326708.28999999998</v>
      </c>
      <c r="D119" s="24" t="s">
        <v>289</v>
      </c>
      <c r="E119" s="95">
        <f>+('DOE25'!L282)+('DOE25'!L301)+('DOE25'!L320)</f>
        <v>27927.200000000001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563881.11999999988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818549.46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235558.63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1671783.9300000002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419920.97000000003</v>
      </c>
      <c r="D124" s="24" t="s">
        <v>289</v>
      </c>
      <c r="E124" s="95">
        <f>+('DOE25'!L287)+('DOE25'!L306)+('DOE25'!L325)</f>
        <v>3313.56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878.43000000000006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634862.04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5273205.0799999991</v>
      </c>
      <c r="D128" s="86">
        <f>SUM(D118:D127)</f>
        <v>634862.04</v>
      </c>
      <c r="E128" s="86">
        <f>SUM(E118:E127)</f>
        <v>345711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17064087.440000001</v>
      </c>
      <c r="D145" s="86">
        <f>(D115+D128+D144)</f>
        <v>634862.04</v>
      </c>
      <c r="E145" s="86">
        <f>(E115+E128+E144)</f>
        <v>1294662.8999999999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29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07/06</v>
      </c>
      <c r="C152" s="152" t="str">
        <f>'DOE25'!G491</f>
        <v>01/10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07/16</v>
      </c>
      <c r="C153" s="152" t="str">
        <f>'DOE25'!G492</f>
        <v>08/25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1713290</v>
      </c>
      <c r="C154" s="137">
        <f>'DOE25'!G493</f>
        <v>577185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2.85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757334.4</v>
      </c>
      <c r="C156" s="137">
        <f>'DOE25'!G495</f>
        <v>263556.93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1020891.3300000001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177337.04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177337.04</v>
      </c>
    </row>
    <row r="159" spans="1:9" x14ac:dyDescent="0.2">
      <c r="A159" s="22" t="s">
        <v>35</v>
      </c>
      <c r="B159" s="137">
        <f>'DOE25'!F498</f>
        <v>579997.36</v>
      </c>
      <c r="C159" s="137">
        <f>'DOE25'!G498</f>
        <v>263556.93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843554.29</v>
      </c>
    </row>
    <row r="160" spans="1:9" x14ac:dyDescent="0.2">
      <c r="A160" s="22" t="s">
        <v>36</v>
      </c>
      <c r="B160" s="137">
        <f>'DOE25'!F499</f>
        <v>51540.35</v>
      </c>
      <c r="C160" s="137">
        <f>'DOE25'!G499</f>
        <v>85932.61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137472.95999999999</v>
      </c>
    </row>
    <row r="161" spans="1:7" x14ac:dyDescent="0.2">
      <c r="A161" s="22" t="s">
        <v>37</v>
      </c>
      <c r="B161" s="137">
        <f>'DOE25'!F500</f>
        <v>631537.71</v>
      </c>
      <c r="C161" s="137">
        <f>'DOE25'!G500</f>
        <v>349489.54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981027.25</v>
      </c>
    </row>
    <row r="162" spans="1:7" x14ac:dyDescent="0.2">
      <c r="A162" s="22" t="s">
        <v>38</v>
      </c>
      <c r="B162" s="137">
        <f>'DOE25'!F501</f>
        <v>185105.4</v>
      </c>
      <c r="C162" s="137">
        <f>'DOE25'!G501</f>
        <v>16035.6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201141</v>
      </c>
    </row>
    <row r="163" spans="1:7" x14ac:dyDescent="0.2">
      <c r="A163" s="22" t="s">
        <v>39</v>
      </c>
      <c r="B163" s="137">
        <f>'DOE25'!F502</f>
        <v>25407.17</v>
      </c>
      <c r="C163" s="137">
        <f>'DOE25'!G502</f>
        <v>13008.64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38415.81</v>
      </c>
    </row>
    <row r="164" spans="1:7" x14ac:dyDescent="0.2">
      <c r="A164" s="22" t="s">
        <v>246</v>
      </c>
      <c r="B164" s="137">
        <f>'DOE25'!F503</f>
        <v>210512.57</v>
      </c>
      <c r="C164" s="137">
        <f>'DOE25'!G503</f>
        <v>29044.239999999998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239556.81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Berlin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13993</v>
      </c>
    </row>
    <row r="5" spans="1:4" x14ac:dyDescent="0.2">
      <c r="B5" t="s">
        <v>704</v>
      </c>
      <c r="C5" s="179">
        <f>IF('DOE25'!G665+'DOE25'!G670=0,0,ROUND('DOE25'!G672,0))</f>
        <v>12892</v>
      </c>
    </row>
    <row r="6" spans="1:4" x14ac:dyDescent="0.2">
      <c r="B6" t="s">
        <v>62</v>
      </c>
      <c r="C6" s="179">
        <f>IF('DOE25'!H665+'DOE25'!H670=0,0,ROUND('DOE25'!H672,0))</f>
        <v>14405</v>
      </c>
    </row>
    <row r="7" spans="1:4" x14ac:dyDescent="0.2">
      <c r="B7" t="s">
        <v>705</v>
      </c>
      <c r="C7" s="179">
        <f>IF('DOE25'!I665+'DOE25'!I670=0,0,ROUND('DOE25'!I672,0))</f>
        <v>13863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7859589</v>
      </c>
      <c r="D10" s="182">
        <f>ROUND((C10/$C$28)*100,1)</f>
        <v>41.9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3613312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735341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531592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1550394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354635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564760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818549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235559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1671784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423235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413999.92000000004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18772749.920000002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18772749.920000002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3642540</v>
      </c>
      <c r="D35" s="182">
        <f t="shared" ref="D35:D40" si="1">ROUND((C35/$C$41)*100,1)</f>
        <v>19.399999999999999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1632722.83</v>
      </c>
      <c r="D36" s="182">
        <f t="shared" si="1"/>
        <v>8.6999999999999993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11139616</v>
      </c>
      <c r="D37" s="182">
        <f t="shared" si="1"/>
        <v>59.3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328638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2054072</v>
      </c>
      <c r="D39" s="182">
        <f t="shared" si="1"/>
        <v>10.9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18797588.829999998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Berlin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>
        <v>3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2014-10-02T15:43:50Z</cp:lastPrinted>
  <dcterms:created xsi:type="dcterms:W3CDTF">1997-12-04T19:04:30Z</dcterms:created>
  <dcterms:modified xsi:type="dcterms:W3CDTF">2014-12-05T15:55:57Z</dcterms:modified>
</cp:coreProperties>
</file>