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C17" i="10" s="1"/>
  <c r="L222" i="1"/>
  <c r="L240" i="1"/>
  <c r="D39" i="13"/>
  <c r="F13" i="13"/>
  <c r="G13" i="13"/>
  <c r="L206" i="1"/>
  <c r="C19" i="10" s="1"/>
  <c r="L224" i="1"/>
  <c r="L242" i="1"/>
  <c r="F16" i="13"/>
  <c r="G16" i="13"/>
  <c r="L209" i="1"/>
  <c r="L227" i="1"/>
  <c r="E16" i="13" s="1"/>
  <c r="L245" i="1"/>
  <c r="F5" i="13"/>
  <c r="G5" i="13"/>
  <c r="L197" i="1"/>
  <c r="C10" i="10" s="1"/>
  <c r="L198" i="1"/>
  <c r="L199" i="1"/>
  <c r="C12" i="10" s="1"/>
  <c r="L200" i="1"/>
  <c r="L215" i="1"/>
  <c r="L229" i="1" s="1"/>
  <c r="L216" i="1"/>
  <c r="L217" i="1"/>
  <c r="L218" i="1"/>
  <c r="L233" i="1"/>
  <c r="L234" i="1"/>
  <c r="L235" i="1"/>
  <c r="L236" i="1"/>
  <c r="F6" i="13"/>
  <c r="G6" i="13"/>
  <c r="L202" i="1"/>
  <c r="C15" i="10" s="1"/>
  <c r="L220" i="1"/>
  <c r="L238" i="1"/>
  <c r="F7" i="13"/>
  <c r="G7" i="13"/>
  <c r="L203" i="1"/>
  <c r="L221" i="1"/>
  <c r="D7" i="13" s="1"/>
  <c r="C7" i="13" s="1"/>
  <c r="L239" i="1"/>
  <c r="F12" i="13"/>
  <c r="G12" i="13"/>
  <c r="L205" i="1"/>
  <c r="D12" i="13" s="1"/>
  <c r="C12" i="13" s="1"/>
  <c r="L223" i="1"/>
  <c r="L241" i="1"/>
  <c r="F14" i="13"/>
  <c r="G14" i="13"/>
  <c r="L207" i="1"/>
  <c r="L225" i="1"/>
  <c r="L243" i="1"/>
  <c r="F15" i="13"/>
  <c r="G15" i="13"/>
  <c r="L208" i="1"/>
  <c r="C21" i="10" s="1"/>
  <c r="L226" i="1"/>
  <c r="L244" i="1"/>
  <c r="F17" i="13"/>
  <c r="G17" i="13"/>
  <c r="D17" i="13" s="1"/>
  <c r="C17" i="13" s="1"/>
  <c r="L251" i="1"/>
  <c r="F18" i="13"/>
  <c r="G18" i="13"/>
  <c r="L252" i="1"/>
  <c r="D18" i="13" s="1"/>
  <c r="C18" i="13" s="1"/>
  <c r="F19" i="13"/>
  <c r="G19" i="13"/>
  <c r="D19" i="13" s="1"/>
  <c r="C19" i="13" s="1"/>
  <c r="L253" i="1"/>
  <c r="F29" i="13"/>
  <c r="G29" i="13"/>
  <c r="L358" i="1"/>
  <c r="F661" i="1" s="1"/>
  <c r="L359" i="1"/>
  <c r="L360" i="1"/>
  <c r="H661" i="1" s="1"/>
  <c r="I367" i="1"/>
  <c r="J290" i="1"/>
  <c r="J309" i="1"/>
  <c r="J328" i="1"/>
  <c r="K290" i="1"/>
  <c r="K309" i="1"/>
  <c r="K328" i="1"/>
  <c r="L276" i="1"/>
  <c r="E109" i="2" s="1"/>
  <c r="L277" i="1"/>
  <c r="L278" i="1"/>
  <c r="E111" i="2" s="1"/>
  <c r="L279" i="1"/>
  <c r="L281" i="1"/>
  <c r="E118" i="2" s="1"/>
  <c r="L282" i="1"/>
  <c r="L283" i="1"/>
  <c r="E120" i="2" s="1"/>
  <c r="L284" i="1"/>
  <c r="L285" i="1"/>
  <c r="E122" i="2" s="1"/>
  <c r="L286" i="1"/>
  <c r="L287" i="1"/>
  <c r="E124" i="2" s="1"/>
  <c r="L288" i="1"/>
  <c r="L295" i="1"/>
  <c r="L309" i="1" s="1"/>
  <c r="L296" i="1"/>
  <c r="L297" i="1"/>
  <c r="L298" i="1"/>
  <c r="L300" i="1"/>
  <c r="L301" i="1"/>
  <c r="L302" i="1"/>
  <c r="L303" i="1"/>
  <c r="L304" i="1"/>
  <c r="L305" i="1"/>
  <c r="L306" i="1"/>
  <c r="G662" i="1" s="1"/>
  <c r="I662" i="1" s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E114" i="2" s="1"/>
  <c r="L334" i="1"/>
  <c r="L335" i="1"/>
  <c r="L260" i="1"/>
  <c r="L261" i="1"/>
  <c r="C25" i="10" s="1"/>
  <c r="L341" i="1"/>
  <c r="C32" i="10" s="1"/>
  <c r="L342" i="1"/>
  <c r="L351" i="1" s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A13" i="12" s="1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401" i="1" s="1"/>
  <c r="C139" i="2" s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G62" i="2" s="1"/>
  <c r="F2" i="11"/>
  <c r="L613" i="1"/>
  <c r="H663" i="1" s="1"/>
  <c r="L612" i="1"/>
  <c r="G663" i="1" s="1"/>
  <c r="L611" i="1"/>
  <c r="F663" i="1" s="1"/>
  <c r="C40" i="10"/>
  <c r="F60" i="1"/>
  <c r="F112" i="1" s="1"/>
  <c r="G60" i="1"/>
  <c r="H60" i="1"/>
  <c r="I60" i="1"/>
  <c r="F79" i="1"/>
  <c r="F94" i="1"/>
  <c r="F111" i="1"/>
  <c r="G111" i="1"/>
  <c r="H79" i="1"/>
  <c r="E57" i="2" s="1"/>
  <c r="E62" i="2" s="1"/>
  <c r="E63" i="2" s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F169" i="1" s="1"/>
  <c r="G147" i="1"/>
  <c r="G162" i="1"/>
  <c r="H147" i="1"/>
  <c r="H162" i="1"/>
  <c r="H169" i="1" s="1"/>
  <c r="I147" i="1"/>
  <c r="I162" i="1"/>
  <c r="C11" i="10"/>
  <c r="C13" i="10"/>
  <c r="C16" i="10"/>
  <c r="C18" i="10"/>
  <c r="C20" i="10"/>
  <c r="L250" i="1"/>
  <c r="L332" i="1"/>
  <c r="L254" i="1"/>
  <c r="L268" i="1"/>
  <c r="C142" i="2" s="1"/>
  <c r="L269" i="1"/>
  <c r="L349" i="1"/>
  <c r="L350" i="1"/>
  <c r="I665" i="1"/>
  <c r="I670" i="1"/>
  <c r="L211" i="1"/>
  <c r="L247" i="1"/>
  <c r="G661" i="1"/>
  <c r="F662" i="1"/>
  <c r="H662" i="1"/>
  <c r="I669" i="1"/>
  <c r="C42" i="10"/>
  <c r="L374" i="1"/>
  <c r="F130" i="2" s="1"/>
  <c r="L375" i="1"/>
  <c r="L376" i="1"/>
  <c r="L377" i="1"/>
  <c r="L378" i="1"/>
  <c r="L379" i="1"/>
  <c r="L380" i="1"/>
  <c r="B2" i="10"/>
  <c r="L344" i="1"/>
  <c r="E134" i="2" s="1"/>
  <c r="L345" i="1"/>
  <c r="L346" i="1"/>
  <c r="L347" i="1"/>
  <c r="K351" i="1"/>
  <c r="L521" i="1"/>
  <c r="F549" i="1" s="1"/>
  <c r="L522" i="1"/>
  <c r="F550" i="1" s="1"/>
  <c r="F552" i="1" s="1"/>
  <c r="L523" i="1"/>
  <c r="F551" i="1" s="1"/>
  <c r="L526" i="1"/>
  <c r="G549" i="1" s="1"/>
  <c r="K549" i="1" s="1"/>
  <c r="L527" i="1"/>
  <c r="G550" i="1" s="1"/>
  <c r="L528" i="1"/>
  <c r="G551" i="1" s="1"/>
  <c r="K551" i="1" s="1"/>
  <c r="L531" i="1"/>
  <c r="H549" i="1" s="1"/>
  <c r="L532" i="1"/>
  <c r="H550" i="1" s="1"/>
  <c r="H552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L270" i="1" s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F18" i="2" s="1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G22" i="2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D50" i="2" s="1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70" i="2" s="1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F78" i="2" s="1"/>
  <c r="F81" i="2" s="1"/>
  <c r="C77" i="2"/>
  <c r="D77" i="2"/>
  <c r="D78" i="2" s="1"/>
  <c r="D81" i="2" s="1"/>
  <c r="E77" i="2"/>
  <c r="F77" i="2"/>
  <c r="G77" i="2"/>
  <c r="G78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E103" i="2" s="1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C110" i="2"/>
  <c r="E110" i="2"/>
  <c r="C111" i="2"/>
  <c r="C112" i="2"/>
  <c r="E112" i="2"/>
  <c r="C113" i="2"/>
  <c r="E113" i="2"/>
  <c r="C114" i="2"/>
  <c r="C115" i="2"/>
  <c r="D115" i="2"/>
  <c r="F115" i="2"/>
  <c r="G115" i="2"/>
  <c r="C118" i="2"/>
  <c r="C128" i="2" s="1"/>
  <c r="C119" i="2"/>
  <c r="E119" i="2"/>
  <c r="C120" i="2"/>
  <c r="C121" i="2"/>
  <c r="E121" i="2"/>
  <c r="C122" i="2"/>
  <c r="C123" i="2"/>
  <c r="E123" i="2"/>
  <c r="C124" i="2"/>
  <c r="C125" i="2"/>
  <c r="E125" i="2"/>
  <c r="D127" i="2"/>
  <c r="D128" i="2" s="1"/>
  <c r="F128" i="2"/>
  <c r="G128" i="2"/>
  <c r="C130" i="2"/>
  <c r="E130" i="2"/>
  <c r="D134" i="2"/>
  <c r="D144" i="2" s="1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G156" i="2" s="1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164" i="2" s="1"/>
  <c r="G503" i="1"/>
  <c r="C164" i="2" s="1"/>
  <c r="H503" i="1"/>
  <c r="D164" i="2" s="1"/>
  <c r="I503" i="1"/>
  <c r="E164" i="2" s="1"/>
  <c r="J503" i="1"/>
  <c r="F164" i="2" s="1"/>
  <c r="F19" i="1"/>
  <c r="G19" i="1"/>
  <c r="G618" i="1" s="1"/>
  <c r="H19" i="1"/>
  <c r="I19" i="1"/>
  <c r="G620" i="1" s="1"/>
  <c r="F32" i="1"/>
  <c r="F52" i="1" s="1"/>
  <c r="G32" i="1"/>
  <c r="H32" i="1"/>
  <c r="I32" i="1"/>
  <c r="H617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H192" i="1" s="1"/>
  <c r="I188" i="1"/>
  <c r="F211" i="1"/>
  <c r="G211" i="1"/>
  <c r="H211" i="1"/>
  <c r="I211" i="1"/>
  <c r="J211" i="1"/>
  <c r="J257" i="1" s="1"/>
  <c r="J271" i="1" s="1"/>
  <c r="K211" i="1"/>
  <c r="F229" i="1"/>
  <c r="F257" i="1" s="1"/>
  <c r="F271" i="1" s="1"/>
  <c r="G229" i="1"/>
  <c r="H229" i="1"/>
  <c r="I229" i="1"/>
  <c r="J229" i="1"/>
  <c r="K229" i="1"/>
  <c r="F247" i="1"/>
  <c r="G247" i="1"/>
  <c r="H247" i="1"/>
  <c r="I247" i="1"/>
  <c r="J247" i="1"/>
  <c r="K247" i="1"/>
  <c r="F256" i="1"/>
  <c r="L256" i="1" s="1"/>
  <c r="L257" i="1" s="1"/>
  <c r="L271" i="1" s="1"/>
  <c r="G632" i="1" s="1"/>
  <c r="G256" i="1"/>
  <c r="H256" i="1"/>
  <c r="I256" i="1"/>
  <c r="J256" i="1"/>
  <c r="K256" i="1"/>
  <c r="F290" i="1"/>
  <c r="F338" i="1" s="1"/>
  <c r="F352" i="1" s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F362" i="1"/>
  <c r="G362" i="1"/>
  <c r="H362" i="1"/>
  <c r="I362" i="1"/>
  <c r="J362" i="1"/>
  <c r="K362" i="1"/>
  <c r="I368" i="1"/>
  <c r="F369" i="1"/>
  <c r="G369" i="1"/>
  <c r="H369" i="1"/>
  <c r="I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3" i="1" s="1"/>
  <c r="L430" i="1"/>
  <c r="L431" i="1"/>
  <c r="L432" i="1"/>
  <c r="F433" i="1"/>
  <c r="G433" i="1"/>
  <c r="H433" i="1"/>
  <c r="I433" i="1"/>
  <c r="J433" i="1"/>
  <c r="F446" i="1"/>
  <c r="G446" i="1"/>
  <c r="G640" i="1" s="1"/>
  <c r="J640" i="1" s="1"/>
  <c r="H446" i="1"/>
  <c r="I446" i="1"/>
  <c r="G642" i="1" s="1"/>
  <c r="F452" i="1"/>
  <c r="G452" i="1"/>
  <c r="H452" i="1"/>
  <c r="I452" i="1"/>
  <c r="F460" i="1"/>
  <c r="G460" i="1"/>
  <c r="H460" i="1"/>
  <c r="I460" i="1"/>
  <c r="F461" i="1"/>
  <c r="G461" i="1"/>
  <c r="H461" i="1"/>
  <c r="I461" i="1"/>
  <c r="F470" i="1"/>
  <c r="G470" i="1"/>
  <c r="G476" i="1" s="1"/>
  <c r="H623" i="1" s="1"/>
  <c r="J623" i="1" s="1"/>
  <c r="H470" i="1"/>
  <c r="I470" i="1"/>
  <c r="J470" i="1"/>
  <c r="F474" i="1"/>
  <c r="F476" i="1" s="1"/>
  <c r="H622" i="1" s="1"/>
  <c r="J622" i="1" s="1"/>
  <c r="G474" i="1"/>
  <c r="H474" i="1"/>
  <c r="I474" i="1"/>
  <c r="J474" i="1"/>
  <c r="J476" i="1" s="1"/>
  <c r="H626" i="1" s="1"/>
  <c r="K495" i="1"/>
  <c r="K496" i="1"/>
  <c r="K497" i="1"/>
  <c r="K498" i="1"/>
  <c r="K499" i="1"/>
  <c r="K500" i="1"/>
  <c r="K501" i="1"/>
  <c r="K502" i="1"/>
  <c r="F517" i="1"/>
  <c r="G517" i="1"/>
  <c r="H517" i="1"/>
  <c r="I517" i="1"/>
  <c r="F524" i="1"/>
  <c r="G524" i="1"/>
  <c r="H524" i="1"/>
  <c r="I524" i="1"/>
  <c r="J524" i="1"/>
  <c r="J545" i="1" s="1"/>
  <c r="K524" i="1"/>
  <c r="L524" i="1"/>
  <c r="F529" i="1"/>
  <c r="G529" i="1"/>
  <c r="H529" i="1"/>
  <c r="I529" i="1"/>
  <c r="J529" i="1"/>
  <c r="K529" i="1"/>
  <c r="K545" i="1" s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44" i="1"/>
  <c r="L557" i="1"/>
  <c r="L558" i="1"/>
  <c r="L559" i="1"/>
  <c r="F560" i="1"/>
  <c r="F571" i="1" s="1"/>
  <c r="G560" i="1"/>
  <c r="H560" i="1"/>
  <c r="H571" i="1" s="1"/>
  <c r="I560" i="1"/>
  <c r="J560" i="1"/>
  <c r="J571" i="1" s="1"/>
  <c r="K560" i="1"/>
  <c r="L562" i="1"/>
  <c r="L565" i="1" s="1"/>
  <c r="L563" i="1"/>
  <c r="L564" i="1"/>
  <c r="F565" i="1"/>
  <c r="G565" i="1"/>
  <c r="H565" i="1"/>
  <c r="I565" i="1"/>
  <c r="I571" i="1" s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7" i="1"/>
  <c r="G619" i="1"/>
  <c r="G622" i="1"/>
  <c r="G623" i="1"/>
  <c r="G624" i="1"/>
  <c r="H627" i="1"/>
  <c r="H628" i="1"/>
  <c r="H629" i="1"/>
  <c r="H630" i="1"/>
  <c r="H631" i="1"/>
  <c r="H632" i="1"/>
  <c r="H633" i="1"/>
  <c r="G634" i="1"/>
  <c r="H634" i="1"/>
  <c r="H635" i="1"/>
  <c r="H636" i="1"/>
  <c r="H637" i="1"/>
  <c r="H638" i="1"/>
  <c r="G639" i="1"/>
  <c r="H639" i="1"/>
  <c r="J639" i="1" s="1"/>
  <c r="H640" i="1"/>
  <c r="G641" i="1"/>
  <c r="H641" i="1"/>
  <c r="H642" i="1"/>
  <c r="G643" i="1"/>
  <c r="H643" i="1"/>
  <c r="G644" i="1"/>
  <c r="H644" i="1"/>
  <c r="J644" i="1" s="1"/>
  <c r="G645" i="1"/>
  <c r="H645" i="1"/>
  <c r="J645" i="1" s="1"/>
  <c r="G649" i="1"/>
  <c r="J649" i="1" s="1"/>
  <c r="G650" i="1"/>
  <c r="G651" i="1"/>
  <c r="G652" i="1"/>
  <c r="H652" i="1"/>
  <c r="G653" i="1"/>
  <c r="H653" i="1"/>
  <c r="G654" i="1"/>
  <c r="H654" i="1"/>
  <c r="H655" i="1"/>
  <c r="F192" i="1"/>
  <c r="K257" i="1"/>
  <c r="K271" i="1" s="1"/>
  <c r="I257" i="1"/>
  <c r="G257" i="1"/>
  <c r="G271" i="1" s="1"/>
  <c r="C18" i="2"/>
  <c r="L328" i="1"/>
  <c r="H660" i="1" s="1"/>
  <c r="A31" i="12"/>
  <c r="A40" i="12"/>
  <c r="D62" i="2"/>
  <c r="D63" i="2" s="1"/>
  <c r="D15" i="13"/>
  <c r="C15" i="13" s="1"/>
  <c r="D18" i="2"/>
  <c r="D6" i="13"/>
  <c r="C6" i="13" s="1"/>
  <c r="C91" i="2"/>
  <c r="D31" i="2"/>
  <c r="C78" i="2"/>
  <c r="G157" i="2"/>
  <c r="G161" i="2"/>
  <c r="D91" i="2"/>
  <c r="E31" i="2"/>
  <c r="D29" i="13"/>
  <c r="C29" i="13" s="1"/>
  <c r="D14" i="13"/>
  <c r="C14" i="13" s="1"/>
  <c r="J617" i="1"/>
  <c r="E78" i="2"/>
  <c r="L427" i="1"/>
  <c r="H112" i="1"/>
  <c r="J641" i="1"/>
  <c r="K605" i="1"/>
  <c r="G648" i="1" s="1"/>
  <c r="K571" i="1"/>
  <c r="L419" i="1"/>
  <c r="I169" i="1"/>
  <c r="G552" i="1"/>
  <c r="J643" i="1"/>
  <c r="H476" i="1"/>
  <c r="H624" i="1" s="1"/>
  <c r="J624" i="1" s="1"/>
  <c r="I476" i="1"/>
  <c r="H625" i="1" s="1"/>
  <c r="G338" i="1"/>
  <c r="G352" i="1" s="1"/>
  <c r="J140" i="1"/>
  <c r="H257" i="1"/>
  <c r="H271" i="1" s="1"/>
  <c r="I552" i="1"/>
  <c r="K550" i="1"/>
  <c r="K598" i="1"/>
  <c r="G647" i="1" s="1"/>
  <c r="J552" i="1"/>
  <c r="C29" i="10"/>
  <c r="H140" i="1"/>
  <c r="L393" i="1"/>
  <c r="C138" i="2" s="1"/>
  <c r="F22" i="13"/>
  <c r="J651" i="1"/>
  <c r="J634" i="1"/>
  <c r="L560" i="1"/>
  <c r="H338" i="1"/>
  <c r="H352" i="1" s="1"/>
  <c r="G192" i="1"/>
  <c r="C35" i="10"/>
  <c r="D5" i="13"/>
  <c r="C5" i="13" s="1"/>
  <c r="J655" i="1"/>
  <c r="L570" i="1"/>
  <c r="I545" i="1"/>
  <c r="G36" i="2"/>
  <c r="G545" i="1"/>
  <c r="H545" i="1"/>
  <c r="C22" i="13"/>
  <c r="E128" i="2" l="1"/>
  <c r="E145" i="2" s="1"/>
  <c r="E115" i="2"/>
  <c r="K552" i="1"/>
  <c r="I661" i="1"/>
  <c r="E33" i="13"/>
  <c r="D35" i="13" s="1"/>
  <c r="C16" i="13"/>
  <c r="C81" i="2"/>
  <c r="H664" i="1"/>
  <c r="H672" i="1" s="1"/>
  <c r="C6" i="10" s="1"/>
  <c r="D145" i="2"/>
  <c r="L362" i="1"/>
  <c r="E13" i="13"/>
  <c r="C13" i="13" s="1"/>
  <c r="E8" i="13"/>
  <c r="C8" i="13" s="1"/>
  <c r="L290" i="1"/>
  <c r="F660" i="1" s="1"/>
  <c r="F664" i="1" s="1"/>
  <c r="C26" i="10"/>
  <c r="I271" i="1"/>
  <c r="L539" i="1"/>
  <c r="L545" i="1" s="1"/>
  <c r="K503" i="1"/>
  <c r="L382" i="1"/>
  <c r="G636" i="1" s="1"/>
  <c r="J636" i="1" s="1"/>
  <c r="K338" i="1"/>
  <c r="K352" i="1" s="1"/>
  <c r="G81" i="2"/>
  <c r="C62" i="2"/>
  <c r="C63" i="2" s="1"/>
  <c r="G112" i="1"/>
  <c r="H25" i="13"/>
  <c r="E81" i="2"/>
  <c r="H647" i="1"/>
  <c r="J647" i="1" s="1"/>
  <c r="G625" i="1"/>
  <c r="J625" i="1" s="1"/>
  <c r="L614" i="1"/>
  <c r="L529" i="1"/>
  <c r="L337" i="1"/>
  <c r="F62" i="2"/>
  <c r="F63" i="2" s="1"/>
  <c r="F104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C24" i="10"/>
  <c r="G660" i="1"/>
  <c r="G664" i="1" s="1"/>
  <c r="G667" i="1" s="1"/>
  <c r="G31" i="13"/>
  <c r="G33" i="13" s="1"/>
  <c r="I338" i="1"/>
  <c r="I352" i="1" s="1"/>
  <c r="J650" i="1"/>
  <c r="L407" i="1"/>
  <c r="C140" i="2" s="1"/>
  <c r="C141" i="2" s="1"/>
  <c r="C144" i="2" s="1"/>
  <c r="C145" i="2" s="1"/>
  <c r="L571" i="1"/>
  <c r="J632" i="1"/>
  <c r="I192" i="1"/>
  <c r="E91" i="2"/>
  <c r="E104" i="2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H667" i="1"/>
  <c r="F31" i="13"/>
  <c r="J193" i="1"/>
  <c r="G646" i="1" s="1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G104" i="2" s="1"/>
  <c r="J618" i="1"/>
  <c r="G42" i="2"/>
  <c r="G50" i="2" s="1"/>
  <c r="G51" i="2" s="1"/>
  <c r="J51" i="1"/>
  <c r="G16" i="2"/>
  <c r="J19" i="1"/>
  <c r="G621" i="1" s="1"/>
  <c r="F33" i="13"/>
  <c r="D31" i="13"/>
  <c r="C31" i="13" s="1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8" i="1"/>
  <c r="J648" i="1" s="1"/>
  <c r="C104" i="2"/>
  <c r="J652" i="1"/>
  <c r="J642" i="1"/>
  <c r="G571" i="1"/>
  <c r="I434" i="1"/>
  <c r="G434" i="1"/>
  <c r="I663" i="1"/>
  <c r="C27" i="10"/>
  <c r="C28" i="10" s="1"/>
  <c r="G635" i="1"/>
  <c r="J635" i="1" s="1"/>
  <c r="C25" i="13" l="1"/>
  <c r="H33" i="13"/>
  <c r="F672" i="1"/>
  <c r="C4" i="10" s="1"/>
  <c r="F667" i="1"/>
  <c r="I660" i="1"/>
  <c r="G672" i="1"/>
  <c r="C5" i="10" s="1"/>
  <c r="L338" i="1"/>
  <c r="L352" i="1" s="1"/>
  <c r="G633" i="1" s="1"/>
  <c r="J633" i="1" s="1"/>
  <c r="L408" i="1"/>
  <c r="C51" i="2"/>
  <c r="G631" i="1"/>
  <c r="J631" i="1" s="1"/>
  <c r="I664" i="1"/>
  <c r="I672" i="1" s="1"/>
  <c r="C7" i="10" s="1"/>
  <c r="D33" i="13"/>
  <c r="D36" i="13" s="1"/>
  <c r="G193" i="1"/>
  <c r="G628" i="1" s="1"/>
  <c r="J628" i="1" s="1"/>
  <c r="G626" i="1"/>
  <c r="J626" i="1" s="1"/>
  <c r="J52" i="1"/>
  <c r="H621" i="1" s="1"/>
  <c r="J621" i="1" s="1"/>
  <c r="C38" i="10"/>
  <c r="D23" i="10"/>
  <c r="D24" i="10"/>
  <c r="D22" i="10"/>
  <c r="D19" i="10"/>
  <c r="D16" i="10"/>
  <c r="D12" i="10"/>
  <c r="D21" i="10"/>
  <c r="D25" i="10"/>
  <c r="C30" i="10"/>
  <c r="D17" i="10"/>
  <c r="D11" i="10"/>
  <c r="D15" i="10"/>
  <c r="D26" i="10"/>
  <c r="D18" i="10"/>
  <c r="D13" i="10"/>
  <c r="D20" i="10"/>
  <c r="D10" i="10"/>
  <c r="D27" i="10"/>
  <c r="G637" i="1" l="1"/>
  <c r="J637" i="1" s="1"/>
  <c r="H646" i="1"/>
  <c r="J646" i="1" s="1"/>
  <c r="I667" i="1"/>
  <c r="D28" i="10"/>
  <c r="C41" i="10"/>
  <c r="D38" i="10" s="1"/>
  <c r="H656" i="1" l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<sst xmlns="http://schemas.openxmlformats.org/spreadsheetml/2006/main" count="3954" uniqueCount="912">
  <si>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</si>
  <si>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</si>
  <si>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</si>
  <si>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</si>
  <si>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</si>
  <si>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</si>
  <si>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</si>
  <si>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</si>
  <si>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</si>
  <si>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</si>
  <si>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</si>
  <si>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</si>
  <si>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</si>
  <si>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</si>
  <si>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</si>
  <si>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</si>
  <si>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</si>
  <si>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</si>
  <si>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</si>
  <si>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</si>
  <si>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</si>
  <si>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</si>
  <si>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</si>
  <si>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</si>
  <si>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</si>
  <si>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</si>
  <si>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</si>
  <si>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</si>
  <si>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</si>
  <si>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</si>
  <si>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</si>
  <si>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</si>
  <si>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</si>
  <si>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</si>
  <si>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</si>
  <si>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</si>
  <si>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</si>
  <si>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</si>
  <si>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</si>
  <si>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</si>
  <si>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</si>
  <si>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</si>
  <si>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</si>
  <si>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</si>
  <si>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</si>
  <si>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</si>
  <si>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</si>
  <si>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</si>
  <si>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</si>
  <si>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</si>
  <si>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</si>
  <si>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</si>
  <si>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</si>
  <si>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</si>
  <si>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</si>
  <si>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</si>
  <si>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</si>
  <si>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</si>
  <si>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</si>
  <si>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</si>
  <si>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</si>
  <si>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</si>
  <si>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</si>
  <si>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</si>
  <si>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</si>
  <si>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</si>
  <si>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</si>
  <si>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</si>
  <si>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</si>
  <si>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</si>
  <si>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</si>
  <si>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</si>
  <si>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</si>
  <si>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</si>
  <si>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</si>
  <si>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</si>
  <si>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</si>
  <si>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</si>
  <si>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</si>
  <si>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</si>
  <si>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</si>
  <si>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</si>
  <si>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</si>
  <si>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</si>
  <si>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</si>
  <si>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</si>
  <si>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</si>
  <si>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</si>
  <si>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</si>
  <si>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</si>
  <si>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</si>
  <si>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</si>
  <si>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</si>
  <si>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</si>
  <si>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</si>
  <si>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</si>
  <si>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</si>
  <si>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</si>
  <si>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</si>
  <si>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</si>
  <si>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</si>
  <si>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</si>
  <si>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</si>
  <si>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</si>
  <si>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</si>
  <si>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</si>
  <si>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</si>
  <si>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</si>
  <si>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</si>
  <si>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</si>
  <si>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</si>
  <si>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</si>
  <si>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</si>
  <si>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</si>
  <si>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</si>
  <si>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</si>
  <si>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</si>
  <si>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</si>
  <si>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</si>
  <si>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</si>
  <si>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</si>
  <si>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</si>
  <si>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</si>
  <si>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</si>
  <si>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</si>
  <si>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</si>
  <si>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</si>
  <si>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</si>
  <si>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</si>
  <si>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</si>
  <si>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</si>
  <si>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</si>
  <si>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</si>
  <si>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</si>
  <si>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</si>
  <si>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</si>
  <si>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</si>
  <si>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</si>
  <si>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</si>
  <si>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</si>
  <si>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</si>
  <si>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</si>
  <si>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</si>
  <si>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</si>
  <si>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</si>
  <si>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</si>
  <si>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</si>
  <si>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</si>
  <si>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</si>
  <si>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</si>
  <si>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</si>
  <si>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</si>
  <si>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</si>
  <si>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</si>
  <si>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</si>
  <si>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</si>
  <si>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</si>
  <si>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</si>
  <si>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</si>
  <si>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</si>
  <si>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</si>
  <si>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</si>
  <si>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</si>
  <si>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</si>
  <si>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</si>
  <si>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</si>
  <si>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</si>
  <si>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</si>
  <si>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</si>
  <si>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</si>
  <si>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</si>
  <si>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</si>
  <si>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</si>
  <si>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</si>
  <si>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</si>
  <si>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</si>
  <si>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</si>
  <si>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</si>
  <si>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</si>
  <si>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</si>
  <si>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</si>
  <si>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</si>
  <si>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</si>
  <si>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</si>
  <si>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</si>
  <si>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</si>
  <si>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</si>
  <si>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</si>
  <si>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</si>
  <si>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</si>
  <si>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</si>
  <si>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</si>
  <si>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</si>
  <si>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</si>
  <si>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</si>
  <si>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</si>
  <si>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</si>
  <si>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</si>
  <si>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</si>
  <si>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</si>
  <si>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</si>
  <si>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</si>
  <si>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</si>
  <si>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</si>
  <si>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</si>
  <si>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</si>
  <si>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</si>
  <si>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</si>
  <si>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</si>
  <si>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</si>
  <si>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</si>
  <si>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</si>
  <si>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</si>
  <si>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</si>
  <si>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</si>
  <si>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</si>
  <si>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</si>
  <si>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</si>
  <si>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</si>
  <si>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</si>
  <si>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</si>
  <si>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</si>
  <si>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</si>
  <si>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</si>
  <si>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</si>
  <si>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</si>
  <si>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</si>
  <si>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</si>
  <si>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</si>
  <si>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</si>
  <si>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</si>
  <si>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</si>
  <si>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</si>
  <si>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</si>
  <si>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</si>
  <si>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</si>
  <si>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</si>
  <si>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</si>
  <si>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</si>
  <si>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</si>
  <si>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</si>
  <si>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</si>
  <si>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</si>
  <si>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</si>
  <si>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</si>
  <si>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</si>
  <si>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</si>
  <si>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</si>
  <si>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</si>
  <si>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</si>
  <si>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</si>
  <si>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</si>
  <si>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</si>
  <si>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</si>
  <si>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</si>
  <si>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</si>
  <si>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</si>
  <si>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</si>
  <si>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</si>
  <si>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</si>
  <si>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</si>
  <si>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</si>
  <si>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</si>
  <si>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</si>
  <si>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</si>
  <si>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</si>
  <si>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</si>
  <si>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</si>
  <si>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</si>
  <si>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</si>
  <si>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</si>
  <si>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</si>
  <si>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</si>
  <si>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</si>
  <si>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</si>
  <si>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</si>
  <si>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</si>
  <si>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</si>
  <si>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</si>
  <si>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</si>
  <si>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</si>
  <si>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</si>
  <si>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</si>
  <si>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</si>
  <si>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</si>
  <si>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</si>
  <si>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</si>
  <si>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</si>
  <si>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</si>
  <si>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</si>
  <si>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</si>
  <si>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</si>
  <si>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</si>
  <si>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</si>
  <si>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</si>
  <si>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</si>
  <si>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</si>
  <si>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</si>
  <si>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</si>
  <si>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</si>
  <si>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</si>
  <si>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</si>
  <si>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</si>
  <si>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</si>
  <si>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</si>
  <si>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</si>
  <si>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</si>
  <si>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</si>
  <si>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</si>
  <si>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</si>
  <si>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</si>
  <si>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</si>
  <si>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</si>
  <si>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</si>
  <si>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</si>
  <si>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</si>
  <si>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</si>
  <si>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</si>
  <si>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</si>
  <si>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</si>
  <si>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</si>
  <si>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</si>
  <si>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</si>
  <si>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</si>
  <si>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</si>
  <si>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</si>
  <si>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</si>
  <si>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</si>
  <si>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</si>
  <si>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</si>
  <si>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</si>
  <si>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</si>
  <si>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</si>
  <si>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</si>
  <si>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</si>
  <si>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</si>
  <si>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</si>
  <si>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</si>
  <si>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</si>
  <si>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</si>
  <si>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</si>
  <si>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</si>
  <si>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</si>
  <si>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</si>
  <si>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</si>
  <si>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</si>
  <si>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</si>
  <si>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</si>
  <si>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</si>
  <si>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</si>
  <si>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</si>
  <si>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</si>
  <si>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</si>
  <si>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</si>
  <si>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</si>
  <si>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</si>
  <si>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</si>
  <si>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</si>
  <si>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</si>
  <si>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</si>
  <si>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</si>
  <si>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</si>
  <si>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</si>
  <si>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</si>
  <si>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</si>
  <si>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</si>
  <si>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</si>
  <si>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</si>
  <si>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</si>
  <si>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</si>
  <si>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</si>
  <si>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</si>
  <si>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</si>
  <si>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</si>
  <si>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</si>
  <si>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</si>
  <si>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</si>
  <si>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</si>
  <si>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</si>
  <si>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</si>
  <si>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</si>
  <si>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</si>
  <si>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</si>
  <si>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</si>
  <si>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</si>
  <si>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</si>
  <si>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</si>
  <si>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</si>
  <si>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</si>
  <si>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</si>
  <si>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</si>
  <si>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</si>
  <si>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</si>
  <si>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</si>
  <si>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</si>
  <si>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</si>
  <si>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</si>
  <si>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</si>
  <si>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</si>
  <si>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</si>
  <si>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</si>
  <si>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</si>
  <si>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</si>
  <si>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</si>
  <si>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</si>
  <si>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</si>
  <si>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</si>
  <si>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</si>
  <si>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</si>
  <si>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</si>
  <si>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</si>
  <si>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</si>
  <si>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</si>
  <si>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</si>
  <si>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</si>
  <si>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</si>
  <si>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</si>
  <si>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</si>
  <si>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</si>
  <si>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</si>
  <si>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</si>
  <si>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</si>
  <si>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</si>
  <si>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</si>
  <si>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</si>
  <si>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</si>
  <si>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</si>
  <si>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</si>
  <si>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</si>
  <si>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</si>
  <si>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</si>
  <si>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</si>
  <si>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</si>
  <si>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</si>
  <si>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</si>
  <si>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</si>
  <si>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</si>
  <si>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</si>
  <si>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</si>
  <si>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</si>
  <si>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</si>
  <si>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</si>
  <si>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</si>
  <si>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</si>
  <si>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</si>
  <si>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</si>
  <si>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</si>
  <si>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</si>
  <si>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</si>
  <si>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</si>
  <si>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</si>
  <si>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</si>
  <si>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</si>
  <si>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</si>
  <si>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</si>
  <si>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</si>
  <si>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</si>
  <si>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</si>
  <si>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</si>
  <si>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</si>
  <si>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</si>
  <si>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</si>
  <si>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</si>
  <si>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</si>
  <si>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</si>
  <si>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</si>
  <si>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</si>
  <si>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</si>
  <si>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</si>
  <si>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</si>
  <si>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</si>
  <si>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</si>
  <si>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</si>
  <si>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</si>
  <si>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</si>
  <si>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</si>
  <si>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</si>
  <si>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</si>
  <si>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</si>
  <si>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</si>
  <si>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</si>
  <si>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</si>
  <si>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</si>
  <si>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</si>
  <si>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</si>
  <si>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</si>
  <si>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</si>
  <si>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</si>
  <si>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</si>
  <si>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</si>
  <si>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</si>
  <si>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</si>
  <si>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</si>
  <si>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</si>
  <si>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</si>
  <si>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</si>
  <si>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</si>
  <si>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</si>
  <si>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</si>
  <si>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</si>
  <si>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</si>
  <si>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</si>
  <si>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</si>
  <si>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</si>
  <si>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</si>
  <si>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</si>
  <si>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</si>
  <si>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</si>
  <si>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</si>
  <si>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</si>
  <si>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</si>
  <si>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</si>
  <si>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</si>
  <si>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</si>
  <si>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</si>
  <si>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</si>
  <si>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</si>
  <si>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</si>
  <si>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</si>
  <si>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</si>
  <si>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</si>
  <si>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</si>
  <si>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</si>
  <si>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</si>
  <si>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</si>
  <si>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</si>
  <si>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</si>
  <si>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</si>
  <si>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</si>
  <si>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</si>
  <si>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</si>
  <si>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</si>
  <si>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</si>
  <si>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</si>
  <si>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</si>
  <si>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</si>
  <si>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</si>
  <si>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</si>
  <si>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</si>
  <si>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</si>
  <si>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</si>
  <si>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</si>
  <si>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</si>
  <si>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</si>
  <si>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</si>
  <si>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</si>
  <si>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</si>
  <si>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</si>
  <si>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</si>
  <si>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</si>
  <si>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</si>
  <si>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</si>
  <si>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</si>
  <si>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</si>
  <si>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</si>
  <si>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</si>
  <si>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</si>
  <si>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</si>
  <si>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</si>
  <si>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</si>
  <si>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</si>
  <si>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</si>
  <si>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</si>
  <si>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</si>
  <si>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</si>
  <si>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</si>
  <si>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</si>
  <si>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</si>
  <si>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</si>
  <si>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</si>
  <si>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</si>
  <si>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</si>
  <si>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</si>
  <si>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</si>
  <si>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</si>
  <si>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</si>
  <si>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</si>
  <si>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</si>
  <si>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</si>
  <si>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</si>
  <si>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</si>
  <si>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</si>
  <si>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</si>
  <si>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</si>
  <si>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</si>
  <si>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</si>
  <si>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</si>
  <si>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</si>
  <si>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</si>
  <si>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</si>
  <si>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</si>
  <si>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</si>
  <si>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</si>
  <si>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</si>
  <si>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</si>
  <si>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</si>
  <si>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</si>
  <si>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</si>
  <si>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</si>
  <si>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</si>
  <si>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</si>
  <si>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</si>
  <si>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</si>
  <si>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</si>
  <si>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</si>
  <si>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</si>
  <si>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</si>
  <si>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</si>
  <si>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</si>
  <si>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</si>
  <si>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</si>
  <si>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</si>
  <si>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</si>
  <si>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</si>
  <si>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</si>
  <si>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</si>
  <si>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</si>
  <si>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</si>
  <si>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</si>
  <si>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</si>
  <si>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</si>
  <si>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</si>
  <si>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</si>
  <si>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</si>
  <si>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</si>
  <si>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</si>
  <si>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</si>
  <si>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</si>
  <si>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</si>
  <si>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</si>
  <si>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</si>
  <si>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</si>
  <si>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</si>
  <si>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</si>
  <si>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</si>
  <si>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</si>
  <si>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</si>
  <si>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</si>
  <si>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</si>
  <si>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</si>
  <si>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</si>
  <si>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</si>
  <si>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</si>
  <si>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</si>
  <si>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</si>
  <si>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</si>
  <si>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</si>
  <si>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</si>
  <si>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</si>
  <si>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</si>
  <si>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</si>
  <si>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</si>
  <si>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</si>
  <si>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</si>
  <si>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</si>
  <si>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</si>
  <si>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</si>
  <si>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</si>
  <si>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</si>
  <si>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</si>
  <si>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</si>
  <si>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</si>
  <si>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</si>
  <si>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</si>
  <si>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</si>
  <si>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</si>
  <si>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</si>
  <si>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</si>
  <si>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</si>
  <si>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</si>
  <si>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</si>
  <si>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</si>
  <si>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</si>
  <si>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</si>
  <si>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</si>
  <si>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</si>
  <si>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</si>
  <si>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</si>
  <si>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</si>
  <si>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</si>
  <si>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</si>
  <si>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</si>
  <si>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</si>
  <si>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</si>
  <si>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</si>
  <si>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</si>
  <si>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</si>
  <si>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</si>
  <si>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</si>
  <si>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</si>
  <si>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</si>
  <si>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</si>
  <si>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</si>
  <si>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</si>
  <si>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</si>
  <si>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</si>
  <si>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</si>
  <si>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</si>
  <si>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</si>
  <si>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</si>
  <si>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</si>
  <si>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</si>
  <si>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</si>
  <si>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</si>
  <si>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</si>
  <si>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</si>
  <si>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</si>
  <si>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</si>
  <si>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</si>
  <si>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</si>
  <si>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</si>
  <si>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</si>
  <si>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</si>
  <si>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</si>
  <si>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</si>
  <si>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</si>
  <si>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</si>
  <si>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</si>
  <si>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</si>
  <si>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</si>
  <si>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</si>
  <si>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</si>
  <si>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</si>
  <si>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</si>
  <si>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</si>
  <si>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</si>
  <si>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</si>
  <si>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</si>
  <si>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</si>
  <si>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</si>
  <si>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</si>
  <si>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</si>
  <si>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</si>
  <si>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</si>
  <si>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</si>
  <si>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</si>
  <si>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</si>
  <si>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</si>
  <si>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</si>
  <si>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</si>
  <si>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</si>
  <si>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</si>
  <si>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</si>
  <si>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</si>
  <si>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</si>
  <si>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</si>
  <si>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</si>
  <si>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</si>
  <si>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</si>
  <si>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</si>
  <si>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</si>
  <si>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</si>
  <si>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</si>
  <si>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</si>
  <si>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</si>
  <si>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</si>
  <si>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</si>
  <si>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</si>
  <si>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</si>
  <si>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</si>
  <si>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</si>
  <si>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</si>
  <si>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</si>
  <si>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</si>
  <si>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</si>
  <si>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</si>
  <si>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</si>
  <si>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</si>
  <si>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</si>
  <si>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</si>
  <si>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</si>
  <si>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</si>
  <si>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</si>
  <si>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</si>
  <si>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</si>
  <si>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</si>
  <si>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</si>
  <si>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</si>
  <si>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</si>
  <si>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</si>
  <si>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</si>
  <si>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</si>
  <si>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</si>
  <si>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</si>
  <si>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</si>
  <si>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</si>
  <si>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</si>
  <si>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</si>
  <si>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</si>
  <si>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</si>
  <si>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</si>
  <si>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</si>
  <si>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</si>
  <si>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</si>
  <si>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</si>
  <si>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</si>
  <si>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</si>
  <si>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</si>
  <si>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</si>
  <si>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</si>
  <si>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</si>
  <si>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</si>
  <si>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</si>
  <si>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</si>
  <si>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</si>
  <si>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</si>
  <si>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</si>
  <si>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</si>
  <si>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</si>
  <si>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</si>
  <si>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</si>
  <si>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</si>
  <si>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</si>
  <si>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</si>
  <si>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</si>
  <si>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</si>
  <si>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</si>
  <si>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</si>
  <si>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</si>
  <si>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</si>
  <si>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</si>
  <si>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</si>
  <si>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</si>
  <si>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</si>
  <si>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</si>
  <si>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</si>
  <si>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</si>
  <si>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</si>
  <si>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</si>
  <si>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</si>
  <si>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</si>
  <si>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</si>
  <si>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</si>
  <si>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</si>
  <si>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</si>
  <si>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</si>
  <si>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</si>
  <si>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</si>
  <si>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</si>
  <si>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</si>
  <si>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</si>
  <si>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</si>
  <si>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</si>
  <si>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</si>
  <si>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</si>
  <si>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</si>
  <si>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</si>
  <si>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</si>
  <si>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</si>
  <si>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</si>
  <si>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</si>
  <si>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</si>
  <si>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</si>
  <si>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</si>
  <si>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</si>
  <si>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</si>
  <si>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</si>
  <si>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</si>
  <si>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</si>
  <si>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</si>
  <si>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</si>
  <si>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</si>
  <si>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</si>
  <si>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</si>
  <si>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</si>
  <si>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</si>
  <si>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</si>
  <si>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</si>
  <si>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</si>
  <si>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</si>
  <si>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</si>
  <si>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</si>
  <si>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</si>
  <si>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</si>
  <si>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</si>
  <si>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</si>
  <si>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</si>
  <si>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</si>
  <si>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</si>
  <si>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</si>
  <si>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</si>
  <si>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</si>
  <si>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</si>
  <si>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</si>
  <si>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</si>
  <si>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</si>
  <si>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</si>
  <si>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</si>
  <si>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</si>
  <si>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</si>
  <si>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</si>
  <si>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</si>
  <si>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</si>
  <si>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</si>
  <si>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</si>
  <si>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</si>
  <si>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</si>
  <si>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</si>
  <si>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</si>
  <si>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</si>
  <si>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</si>
  <si>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</si>
  <si>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</si>
  <si>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</si>
  <si>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</si>
  <si>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</si>
  <si>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</si>
  <si>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</si>
  <si>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</si>
  <si>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</si>
  <si>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</si>
  <si>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Bethlehem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</si>
</sst>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75" workbookViewId="0">
      <pane xSplit="5" ySplit="3" topLeftCell="F626" activePane="bottomRight" state="frozen"/>
      <selection pane="topRight" activeCell="F1" sqref="F1"/>
      <selection pane="bottomLeft" activeCell="A4" sqref="A4"/>
      <selection pane="bottomRight" activeCell="F666" sqref="F666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53</v>
      </c>
      <c r="C2" s="21">
        <v>53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77648.52</v>
      </c>
      <c r="G9" s="18">
        <v>-36060.25</v>
      </c>
      <c r="H9" s="18">
        <v>-15482.42</v>
      </c>
      <c r="I9" s="18"/>
      <c r="J9" s="67">
        <f>SUM(I439)</f>
        <v>219177.05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3700</v>
      </c>
      <c r="G12" s="18">
        <v>33737.040000000001</v>
      </c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>
        <v>2325.69</v>
      </c>
      <c r="H13" s="18">
        <v>15482.42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81348.52</v>
      </c>
      <c r="G19" s="41">
        <f>SUM(G9:G18)</f>
        <v>2.4800000000009277</v>
      </c>
      <c r="H19" s="41">
        <f>SUM(H9:H18)</f>
        <v>0</v>
      </c>
      <c r="I19" s="41">
        <f>SUM(I9:I18)</f>
        <v>0</v>
      </c>
      <c r="J19" s="41">
        <f>SUM(J9:J18)</f>
        <v>219177.05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33737.040000000001</v>
      </c>
      <c r="G22" s="18"/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/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>
        <v>6476.27</v>
      </c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40213.31</v>
      </c>
      <c r="G32" s="41">
        <f>SUM(G22:G31)</f>
        <v>0</v>
      </c>
      <c r="H32" s="41">
        <f>SUM(H22:H31)</f>
        <v>0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219177.05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>
        <v>2.48</v>
      </c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41135.21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41135.21</v>
      </c>
      <c r="G51" s="41">
        <f>SUM(G35:G50)</f>
        <v>2.48</v>
      </c>
      <c r="H51" s="41">
        <f>SUM(H35:H50)</f>
        <v>0</v>
      </c>
      <c r="I51" s="41">
        <f>SUM(I35:I50)</f>
        <v>0</v>
      </c>
      <c r="J51" s="41">
        <f>SUM(J35:J50)</f>
        <v>219177.05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81348.51999999999</v>
      </c>
      <c r="G52" s="41">
        <f>G51+G32</f>
        <v>2.48</v>
      </c>
      <c r="H52" s="41">
        <f>H51+H32</f>
        <v>0</v>
      </c>
      <c r="I52" s="41">
        <f>I51+I32</f>
        <v>0</v>
      </c>
      <c r="J52" s="41">
        <f>J51+J32</f>
        <v>219177.05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1633429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1633429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0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495.82</v>
      </c>
      <c r="G96" s="18"/>
      <c r="H96" s="18"/>
      <c r="I96" s="18"/>
      <c r="J96" s="18">
        <v>60.37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20316.72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38419.910000000003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38915.730000000003</v>
      </c>
      <c r="G111" s="41">
        <f>SUM(G96:G110)</f>
        <v>20316.72</v>
      </c>
      <c r="H111" s="41">
        <f>SUM(H96:H110)</f>
        <v>0</v>
      </c>
      <c r="I111" s="41">
        <f>SUM(I96:I110)</f>
        <v>0</v>
      </c>
      <c r="J111" s="41">
        <f>SUM(J96:J110)</f>
        <v>60.37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1672344.73</v>
      </c>
      <c r="G112" s="41">
        <f>G60+G111</f>
        <v>20316.72</v>
      </c>
      <c r="H112" s="41">
        <f>H60+H79+H94+H111</f>
        <v>0</v>
      </c>
      <c r="I112" s="41">
        <f>I60+I111</f>
        <v>0</v>
      </c>
      <c r="J112" s="41">
        <f>J60+J111</f>
        <v>60.37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644643.4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248860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893503.4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884.9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884.9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893503.4</v>
      </c>
      <c r="G140" s="41">
        <f>G121+SUM(G136:G137)</f>
        <v>884.9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>
        <v>17132.900000000001</v>
      </c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17132.900000000001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99794.04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21367.07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42461.49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53780.72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34652.75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34652.75</v>
      </c>
      <c r="G162" s="41">
        <f>SUM(G150:G161)</f>
        <v>42461.49</v>
      </c>
      <c r="H162" s="41">
        <f>SUM(H150:H161)</f>
        <v>174941.83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>
        <v>18647.419999999998</v>
      </c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53300.17</v>
      </c>
      <c r="G169" s="41">
        <f>G147+G162+SUM(G163:G168)</f>
        <v>42461.49</v>
      </c>
      <c r="H169" s="41">
        <f>H147+H162+SUM(H163:H168)</f>
        <v>192074.72999999998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33737.040000000001</v>
      </c>
      <c r="H179" s="18"/>
      <c r="I179" s="18"/>
      <c r="J179" s="18">
        <v>30000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33737.040000000001</v>
      </c>
      <c r="H183" s="41">
        <f>SUM(H179:H182)</f>
        <v>0</v>
      </c>
      <c r="I183" s="41">
        <f>SUM(I179:I182)</f>
        <v>0</v>
      </c>
      <c r="J183" s="41">
        <f>SUM(J179:J182)</f>
        <v>30000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>
        <v>45700</v>
      </c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45700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45700</v>
      </c>
      <c r="G192" s="41">
        <f>G183+SUM(G188:G191)</f>
        <v>33737.040000000001</v>
      </c>
      <c r="H192" s="41">
        <f>+H183+SUM(H188:H191)</f>
        <v>0</v>
      </c>
      <c r="I192" s="41">
        <f>I177+I183+SUM(I188:I191)</f>
        <v>0</v>
      </c>
      <c r="J192" s="41">
        <f>J183</f>
        <v>30000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2664848.2999999998</v>
      </c>
      <c r="G193" s="47">
        <f>G112+G140+G169+G192</f>
        <v>97400.15</v>
      </c>
      <c r="H193" s="47">
        <f>H112+H140+H169+H192</f>
        <v>192074.72999999998</v>
      </c>
      <c r="I193" s="47">
        <f>I112+I140+I169+I192</f>
        <v>0</v>
      </c>
      <c r="J193" s="47">
        <f>J112+J140+J192</f>
        <v>30060.37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846931.45</v>
      </c>
      <c r="G197" s="18">
        <v>335326.32</v>
      </c>
      <c r="H197" s="18"/>
      <c r="I197" s="18">
        <v>26689.25</v>
      </c>
      <c r="J197" s="18">
        <v>17237.98</v>
      </c>
      <c r="K197" s="18"/>
      <c r="L197" s="19">
        <f>SUM(F197:K197)</f>
        <v>1226185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249638.43</v>
      </c>
      <c r="G198" s="18">
        <v>119688.06</v>
      </c>
      <c r="H198" s="18">
        <v>24098.49</v>
      </c>
      <c r="I198" s="145">
        <v>1672.16</v>
      </c>
      <c r="J198" s="18">
        <v>1794.83</v>
      </c>
      <c r="K198" s="18"/>
      <c r="L198" s="19">
        <f>SUM(F198:K198)</f>
        <v>396891.97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91691</v>
      </c>
      <c r="G202" s="18">
        <v>35017.94</v>
      </c>
      <c r="H202" s="18">
        <v>126632.99</v>
      </c>
      <c r="I202" s="18">
        <v>785.32</v>
      </c>
      <c r="J202" s="18"/>
      <c r="K202" s="18"/>
      <c r="L202" s="19">
        <f t="shared" ref="L202:L208" si="0">SUM(F202:K202)</f>
        <v>254127.25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/>
      <c r="G203" s="18"/>
      <c r="H203" s="18">
        <v>973.58</v>
      </c>
      <c r="I203" s="18">
        <v>3577.16</v>
      </c>
      <c r="J203" s="18">
        <v>3430.86</v>
      </c>
      <c r="K203" s="18">
        <v>7316.35</v>
      </c>
      <c r="L203" s="19">
        <f t="shared" si="0"/>
        <v>15297.95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3818.22</v>
      </c>
      <c r="G204" s="18">
        <v>380.13</v>
      </c>
      <c r="H204" s="18">
        <v>158794.85999999999</v>
      </c>
      <c r="I204" s="18"/>
      <c r="J204" s="18"/>
      <c r="K204" s="18">
        <v>12655.66</v>
      </c>
      <c r="L204" s="19">
        <f t="shared" si="0"/>
        <v>175648.87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120734.39</v>
      </c>
      <c r="G205" s="18">
        <v>72698.23</v>
      </c>
      <c r="H205" s="18">
        <v>14952.15</v>
      </c>
      <c r="I205" s="18">
        <v>18948.91</v>
      </c>
      <c r="J205" s="18">
        <v>680.84</v>
      </c>
      <c r="K205" s="18"/>
      <c r="L205" s="19">
        <f t="shared" si="0"/>
        <v>228014.52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58426.59</v>
      </c>
      <c r="G207" s="18">
        <v>23503.03</v>
      </c>
      <c r="H207" s="18">
        <v>95068.54</v>
      </c>
      <c r="I207" s="18">
        <v>53631.01</v>
      </c>
      <c r="J207" s="18">
        <v>732.88</v>
      </c>
      <c r="K207" s="18"/>
      <c r="L207" s="19">
        <f t="shared" si="0"/>
        <v>231362.05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v>382.5</v>
      </c>
      <c r="G208" s="18">
        <v>29.27</v>
      </c>
      <c r="H208" s="18">
        <v>145201.35999999999</v>
      </c>
      <c r="I208" s="18"/>
      <c r="J208" s="18"/>
      <c r="K208" s="18"/>
      <c r="L208" s="19">
        <f t="shared" si="0"/>
        <v>145613.12999999998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1371622.5799999998</v>
      </c>
      <c r="G211" s="41">
        <f t="shared" si="1"/>
        <v>586642.9800000001</v>
      </c>
      <c r="H211" s="41">
        <f t="shared" si="1"/>
        <v>565721.97</v>
      </c>
      <c r="I211" s="41">
        <f t="shared" si="1"/>
        <v>105303.81</v>
      </c>
      <c r="J211" s="41">
        <f t="shared" si="1"/>
        <v>23877.39</v>
      </c>
      <c r="K211" s="41">
        <f t="shared" si="1"/>
        <v>19972.010000000002</v>
      </c>
      <c r="L211" s="41">
        <f t="shared" si="1"/>
        <v>2673140.7399999998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/>
      <c r="I233" s="18"/>
      <c r="J233" s="18"/>
      <c r="K233" s="18"/>
      <c r="L233" s="19">
        <f>SUM(F233:K233)</f>
        <v>0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/>
      <c r="I244" s="18"/>
      <c r="J244" s="18"/>
      <c r="K244" s="18"/>
      <c r="L244" s="19">
        <f t="shared" si="4"/>
        <v>0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0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0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1371622.5799999998</v>
      </c>
      <c r="G257" s="41">
        <f t="shared" si="8"/>
        <v>586642.9800000001</v>
      </c>
      <c r="H257" s="41">
        <f t="shared" si="8"/>
        <v>565721.97</v>
      </c>
      <c r="I257" s="41">
        <f t="shared" si="8"/>
        <v>105303.81</v>
      </c>
      <c r="J257" s="41">
        <f t="shared" si="8"/>
        <v>23877.39</v>
      </c>
      <c r="K257" s="41">
        <f t="shared" si="8"/>
        <v>19972.010000000002</v>
      </c>
      <c r="L257" s="41">
        <f t="shared" si="8"/>
        <v>2673140.7399999998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33737.040000000001</v>
      </c>
      <c r="L263" s="19">
        <f>SUM(F263:K263)</f>
        <v>33737.040000000001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30000</v>
      </c>
      <c r="L266" s="19">
        <f t="shared" si="9"/>
        <v>30000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63737.04</v>
      </c>
      <c r="L270" s="41">
        <f t="shared" si="9"/>
        <v>63737.04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1371622.5799999998</v>
      </c>
      <c r="G271" s="42">
        <f t="shared" si="11"/>
        <v>586642.9800000001</v>
      </c>
      <c r="H271" s="42">
        <f t="shared" si="11"/>
        <v>565721.97</v>
      </c>
      <c r="I271" s="42">
        <f t="shared" si="11"/>
        <v>105303.81</v>
      </c>
      <c r="J271" s="42">
        <f t="shared" si="11"/>
        <v>23877.39</v>
      </c>
      <c r="K271" s="42">
        <f t="shared" si="11"/>
        <v>83709.05</v>
      </c>
      <c r="L271" s="42">
        <f t="shared" si="11"/>
        <v>2736877.78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/>
      <c r="G276" s="18">
        <v>6661.46</v>
      </c>
      <c r="H276" s="18">
        <v>5225</v>
      </c>
      <c r="I276" s="18">
        <v>1118.3599999999999</v>
      </c>
      <c r="J276" s="18"/>
      <c r="K276" s="18">
        <v>4128.08</v>
      </c>
      <c r="L276" s="19">
        <f>SUM(F276:K276)</f>
        <v>17132.900000000001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106880.52</v>
      </c>
      <c r="G277" s="18">
        <v>23684.48</v>
      </c>
      <c r="H277" s="18">
        <v>4579.92</v>
      </c>
      <c r="I277" s="18">
        <v>1484.9</v>
      </c>
      <c r="J277" s="18"/>
      <c r="K277" s="18"/>
      <c r="L277" s="19">
        <f>SUM(F277:K277)</f>
        <v>136629.82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>
        <v>5040</v>
      </c>
      <c r="G279" s="18">
        <v>1099.2</v>
      </c>
      <c r="H279" s="18"/>
      <c r="I279" s="18"/>
      <c r="J279" s="18"/>
      <c r="K279" s="18"/>
      <c r="L279" s="19">
        <f>SUM(F279:K279)</f>
        <v>6139.2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14406.25</v>
      </c>
      <c r="G282" s="18">
        <v>2995.33</v>
      </c>
      <c r="H282" s="18">
        <v>9088.32</v>
      </c>
      <c r="I282" s="18"/>
      <c r="J282" s="18"/>
      <c r="K282" s="18"/>
      <c r="L282" s="19">
        <f t="shared" si="12"/>
        <v>26489.9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>
        <v>5648.36</v>
      </c>
      <c r="L283" s="19">
        <f t="shared" si="12"/>
        <v>5648.36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126326.77</v>
      </c>
      <c r="G290" s="42">
        <f t="shared" si="13"/>
        <v>34440.47</v>
      </c>
      <c r="H290" s="42">
        <f t="shared" si="13"/>
        <v>18893.239999999998</v>
      </c>
      <c r="I290" s="42">
        <f t="shared" si="13"/>
        <v>2603.2600000000002</v>
      </c>
      <c r="J290" s="42">
        <f t="shared" si="13"/>
        <v>0</v>
      </c>
      <c r="K290" s="42">
        <f t="shared" si="13"/>
        <v>9776.4399999999987</v>
      </c>
      <c r="L290" s="41">
        <f t="shared" si="13"/>
        <v>192040.18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126326.77</v>
      </c>
      <c r="G338" s="41">
        <f t="shared" si="20"/>
        <v>34440.47</v>
      </c>
      <c r="H338" s="41">
        <f t="shared" si="20"/>
        <v>18893.239999999998</v>
      </c>
      <c r="I338" s="41">
        <f t="shared" si="20"/>
        <v>2603.2600000000002</v>
      </c>
      <c r="J338" s="41">
        <f t="shared" si="20"/>
        <v>0</v>
      </c>
      <c r="K338" s="41">
        <f t="shared" si="20"/>
        <v>9776.4399999999987</v>
      </c>
      <c r="L338" s="41">
        <f t="shared" si="20"/>
        <v>192040.18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126326.77</v>
      </c>
      <c r="G352" s="41">
        <f>G338</f>
        <v>34440.47</v>
      </c>
      <c r="H352" s="41">
        <f>H338</f>
        <v>18893.239999999998</v>
      </c>
      <c r="I352" s="41">
        <f>I338</f>
        <v>2603.2600000000002</v>
      </c>
      <c r="J352" s="41">
        <f>J338</f>
        <v>0</v>
      </c>
      <c r="K352" s="47">
        <f>K338+K351</f>
        <v>9776.4399999999987</v>
      </c>
      <c r="L352" s="41">
        <f>L338+L351</f>
        <v>192040.18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41260.400000000001</v>
      </c>
      <c r="G358" s="18">
        <v>21510.55</v>
      </c>
      <c r="H358" s="18">
        <v>839.71</v>
      </c>
      <c r="I358" s="18">
        <v>33789.089999999997</v>
      </c>
      <c r="J358" s="18"/>
      <c r="K358" s="18"/>
      <c r="L358" s="13">
        <f>SUM(F358:K358)</f>
        <v>97399.75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41260.400000000001</v>
      </c>
      <c r="G362" s="47">
        <f t="shared" si="22"/>
        <v>21510.55</v>
      </c>
      <c r="H362" s="47">
        <f t="shared" si="22"/>
        <v>839.71</v>
      </c>
      <c r="I362" s="47">
        <f t="shared" si="22"/>
        <v>33789.089999999997</v>
      </c>
      <c r="J362" s="47">
        <f t="shared" si="22"/>
        <v>0</v>
      </c>
      <c r="K362" s="47">
        <f t="shared" si="22"/>
        <v>0</v>
      </c>
      <c r="L362" s="47">
        <f t="shared" si="22"/>
        <v>97399.75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30387.759999999998</v>
      </c>
      <c r="G367" s="18"/>
      <c r="H367" s="18"/>
      <c r="I367" s="56">
        <f>SUM(F367:H367)</f>
        <v>30387.759999999998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3401.33</v>
      </c>
      <c r="G368" s="63"/>
      <c r="H368" s="63"/>
      <c r="I368" s="56">
        <f>SUM(F368:H368)</f>
        <v>3401.33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33789.089999999997</v>
      </c>
      <c r="G369" s="47">
        <f>SUM(G367:G368)</f>
        <v>0</v>
      </c>
      <c r="H369" s="47">
        <f>SUM(H367:H368)</f>
        <v>0</v>
      </c>
      <c r="I369" s="47">
        <f>SUM(I367:I368)</f>
        <v>33789.089999999997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>
        <v>15000</v>
      </c>
      <c r="H396" s="18">
        <v>29.19</v>
      </c>
      <c r="I396" s="18"/>
      <c r="J396" s="24" t="s">
        <v>289</v>
      </c>
      <c r="K396" s="24" t="s">
        <v>289</v>
      </c>
      <c r="L396" s="56">
        <f t="shared" si="26"/>
        <v>15029.19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>
        <v>27.03</v>
      </c>
      <c r="I397" s="18"/>
      <c r="J397" s="24" t="s">
        <v>289</v>
      </c>
      <c r="K397" s="24" t="s">
        <v>289</v>
      </c>
      <c r="L397" s="56">
        <f t="shared" si="26"/>
        <v>27.03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>
        <v>15000</v>
      </c>
      <c r="H399" s="18">
        <v>4.1500000000000004</v>
      </c>
      <c r="I399" s="18"/>
      <c r="J399" s="24" t="s">
        <v>289</v>
      </c>
      <c r="K399" s="24" t="s">
        <v>289</v>
      </c>
      <c r="L399" s="56">
        <f t="shared" si="26"/>
        <v>15004.15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30000</v>
      </c>
      <c r="H401" s="47">
        <f>SUM(H395:H400)</f>
        <v>60.37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30060.370000000003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30000</v>
      </c>
      <c r="H408" s="47">
        <f>H393+H401+H407</f>
        <v>60.37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30060.370000000003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>
        <v>42000</v>
      </c>
      <c r="L422" s="56">
        <f t="shared" si="29"/>
        <v>42000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42000</v>
      </c>
      <c r="L427" s="47">
        <f t="shared" si="30"/>
        <v>42000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42000</v>
      </c>
      <c r="L434" s="47">
        <f t="shared" si="32"/>
        <v>42000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>
        <v>219177.05</v>
      </c>
      <c r="G439" s="18"/>
      <c r="H439" s="18"/>
      <c r="I439" s="56">
        <f t="shared" ref="I439:I445" si="33">SUM(F439:H439)</f>
        <v>219177.05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219177.05</v>
      </c>
      <c r="G446" s="13">
        <f>SUM(G439:G445)</f>
        <v>0</v>
      </c>
      <c r="H446" s="13">
        <f>SUM(H439:H445)</f>
        <v>0</v>
      </c>
      <c r="I446" s="13">
        <f>SUM(I439:I445)</f>
        <v>219177.05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219177.05</v>
      </c>
      <c r="G459" s="18"/>
      <c r="H459" s="18"/>
      <c r="I459" s="56">
        <f t="shared" si="34"/>
        <v>219177.05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219177.05</v>
      </c>
      <c r="G460" s="83">
        <f>SUM(G454:G459)</f>
        <v>0</v>
      </c>
      <c r="H460" s="83">
        <f>SUM(H454:H459)</f>
        <v>0</v>
      </c>
      <c r="I460" s="83">
        <f>SUM(I454:I459)</f>
        <v>219177.05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219177.05</v>
      </c>
      <c r="G461" s="42">
        <f>G452+G460</f>
        <v>0</v>
      </c>
      <c r="H461" s="42">
        <f>H452+H460</f>
        <v>0</v>
      </c>
      <c r="I461" s="42">
        <f>I452+I460</f>
        <v>219177.05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113164.69</v>
      </c>
      <c r="G465" s="18">
        <v>2.08</v>
      </c>
      <c r="H465" s="18">
        <v>-34.549999999999997</v>
      </c>
      <c r="I465" s="18"/>
      <c r="J465" s="18">
        <v>231116.68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2664848.2999999998</v>
      </c>
      <c r="G468" s="18">
        <v>97400.15</v>
      </c>
      <c r="H468" s="18">
        <v>192074.73</v>
      </c>
      <c r="I468" s="18"/>
      <c r="J468" s="18">
        <v>30060.37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2664848.2999999998</v>
      </c>
      <c r="G470" s="53">
        <f>SUM(G468:G469)</f>
        <v>97400.15</v>
      </c>
      <c r="H470" s="53">
        <f>SUM(H468:H469)</f>
        <v>192074.73</v>
      </c>
      <c r="I470" s="53">
        <f>SUM(I468:I469)</f>
        <v>0</v>
      </c>
      <c r="J470" s="53">
        <f>SUM(J468:J469)</f>
        <v>30060.37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2736877.78</v>
      </c>
      <c r="G472" s="18">
        <v>97399.75</v>
      </c>
      <c r="H472" s="18">
        <v>192040.18</v>
      </c>
      <c r="I472" s="18"/>
      <c r="J472" s="18">
        <v>42000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2736877.78</v>
      </c>
      <c r="G474" s="53">
        <f>SUM(G472:G473)</f>
        <v>97399.75</v>
      </c>
      <c r="H474" s="53">
        <f>SUM(H472:H473)</f>
        <v>192040.18</v>
      </c>
      <c r="I474" s="53">
        <f>SUM(I472:I473)</f>
        <v>0</v>
      </c>
      <c r="J474" s="53">
        <f>SUM(J472:J473)</f>
        <v>42000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41135.209999999963</v>
      </c>
      <c r="G476" s="53">
        <f>(G465+G470)- G474</f>
        <v>2.4799999999959255</v>
      </c>
      <c r="H476" s="53">
        <f>(H465+H470)- H474</f>
        <v>0</v>
      </c>
      <c r="I476" s="53">
        <f>(I465+I470)- I474</f>
        <v>0</v>
      </c>
      <c r="J476" s="53">
        <f>(J465+J470)- J474</f>
        <v>219177.05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>
        <v>270179.03999999998</v>
      </c>
      <c r="G513" s="24" t="s">
        <v>289</v>
      </c>
      <c r="H513" s="18">
        <v>216835.6</v>
      </c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>
        <v>86462.75</v>
      </c>
      <c r="G514" s="24" t="s">
        <v>289</v>
      </c>
      <c r="H514" s="18">
        <v>66512.77</v>
      </c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>
        <v>43000</v>
      </c>
      <c r="H516" s="24" t="s">
        <v>289</v>
      </c>
      <c r="I516" s="18">
        <v>116293.42</v>
      </c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356641.79</v>
      </c>
      <c r="G517" s="42">
        <f>SUM(G511:G516)</f>
        <v>43000</v>
      </c>
      <c r="H517" s="42">
        <f>SUM(H511:H516)</f>
        <v>283348.37</v>
      </c>
      <c r="I517" s="42">
        <f>SUM(I511:I516)</f>
        <v>116293.42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356518.95</v>
      </c>
      <c r="G521" s="18">
        <v>143372.54</v>
      </c>
      <c r="H521" s="18">
        <v>28678.41</v>
      </c>
      <c r="I521" s="18">
        <v>3157.06</v>
      </c>
      <c r="J521" s="18">
        <v>1794.83</v>
      </c>
      <c r="K521" s="18"/>
      <c r="L521" s="88">
        <f>SUM(F521:K521)</f>
        <v>533521.79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/>
      <c r="I523" s="18"/>
      <c r="J523" s="18"/>
      <c r="K523" s="18"/>
      <c r="L523" s="88">
        <f>SUM(F523:K523)</f>
        <v>0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356518.95</v>
      </c>
      <c r="G524" s="108">
        <f t="shared" ref="G524:L524" si="36">SUM(G521:G523)</f>
        <v>143372.54</v>
      </c>
      <c r="H524" s="108">
        <f t="shared" si="36"/>
        <v>28678.41</v>
      </c>
      <c r="I524" s="108">
        <f t="shared" si="36"/>
        <v>3157.06</v>
      </c>
      <c r="J524" s="108">
        <f t="shared" si="36"/>
        <v>1794.83</v>
      </c>
      <c r="K524" s="108">
        <f t="shared" si="36"/>
        <v>0</v>
      </c>
      <c r="L524" s="89">
        <f t="shared" si="36"/>
        <v>533521.79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/>
      <c r="G526" s="18"/>
      <c r="H526" s="18">
        <v>126201.22</v>
      </c>
      <c r="I526" s="18"/>
      <c r="J526" s="18"/>
      <c r="K526" s="18"/>
      <c r="L526" s="88">
        <f>SUM(F526:K526)</f>
        <v>126201.22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126201.22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126201.22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0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0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6023.48</v>
      </c>
      <c r="I541" s="18"/>
      <c r="J541" s="18"/>
      <c r="K541" s="18"/>
      <c r="L541" s="88">
        <f>SUM(F541:K541)</f>
        <v>6023.48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6023.48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6023.48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356518.95</v>
      </c>
      <c r="G545" s="89">
        <f t="shared" ref="G545:L545" si="41">G524+G529+G534+G539+G544</f>
        <v>143372.54</v>
      </c>
      <c r="H545" s="89">
        <f t="shared" si="41"/>
        <v>160903.11000000002</v>
      </c>
      <c r="I545" s="89">
        <f t="shared" si="41"/>
        <v>3157.06</v>
      </c>
      <c r="J545" s="89">
        <f t="shared" si="41"/>
        <v>1794.83</v>
      </c>
      <c r="K545" s="89">
        <f t="shared" si="41"/>
        <v>0</v>
      </c>
      <c r="L545" s="89">
        <f t="shared" si="41"/>
        <v>665746.49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533521.79</v>
      </c>
      <c r="G549" s="87">
        <f>L526</f>
        <v>126201.22</v>
      </c>
      <c r="H549" s="87">
        <f>L531</f>
        <v>0</v>
      </c>
      <c r="I549" s="87">
        <f>L536</f>
        <v>0</v>
      </c>
      <c r="J549" s="87">
        <f>L541</f>
        <v>6023.48</v>
      </c>
      <c r="K549" s="87">
        <f>SUM(F549:J549)</f>
        <v>665746.49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0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0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533521.79</v>
      </c>
      <c r="G552" s="89">
        <f t="shared" si="42"/>
        <v>126201.22</v>
      </c>
      <c r="H552" s="89">
        <f t="shared" si="42"/>
        <v>0</v>
      </c>
      <c r="I552" s="89">
        <f t="shared" si="42"/>
        <v>0</v>
      </c>
      <c r="J552" s="89">
        <f t="shared" si="42"/>
        <v>6023.48</v>
      </c>
      <c r="K552" s="89">
        <f t="shared" si="42"/>
        <v>665746.49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>
        <v>18694.5</v>
      </c>
      <c r="G567" s="18">
        <v>7457.42</v>
      </c>
      <c r="H567" s="18"/>
      <c r="I567" s="18">
        <v>920.63</v>
      </c>
      <c r="J567" s="18">
        <v>14</v>
      </c>
      <c r="K567" s="18"/>
      <c r="L567" s="88">
        <f>SUM(F567:K567)</f>
        <v>27086.55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18694.5</v>
      </c>
      <c r="G570" s="193">
        <f t="shared" ref="G570:L570" si="45">SUM(G567:G569)</f>
        <v>7457.42</v>
      </c>
      <c r="H570" s="193">
        <f t="shared" si="45"/>
        <v>0</v>
      </c>
      <c r="I570" s="193">
        <f t="shared" si="45"/>
        <v>920.63</v>
      </c>
      <c r="J570" s="193">
        <f t="shared" si="45"/>
        <v>14</v>
      </c>
      <c r="K570" s="193">
        <f t="shared" si="45"/>
        <v>0</v>
      </c>
      <c r="L570" s="193">
        <f t="shared" si="45"/>
        <v>27086.55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18694.5</v>
      </c>
      <c r="G571" s="89">
        <f t="shared" ref="G571:L571" si="46">G560+G565+G570</f>
        <v>7457.42</v>
      </c>
      <c r="H571" s="89">
        <f t="shared" si="46"/>
        <v>0</v>
      </c>
      <c r="I571" s="89">
        <f t="shared" si="46"/>
        <v>920.63</v>
      </c>
      <c r="J571" s="89">
        <f t="shared" si="46"/>
        <v>14</v>
      </c>
      <c r="K571" s="89">
        <f t="shared" si="46"/>
        <v>0</v>
      </c>
      <c r="L571" s="89">
        <f t="shared" si="46"/>
        <v>27086.55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v>10981.62</v>
      </c>
      <c r="G579" s="18"/>
      <c r="H579" s="18"/>
      <c r="I579" s="87">
        <f t="shared" si="47"/>
        <v>10981.62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10954.37</v>
      </c>
      <c r="G582" s="18"/>
      <c r="H582" s="18"/>
      <c r="I582" s="87">
        <f t="shared" si="47"/>
        <v>10954.37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129477.65</v>
      </c>
      <c r="I591" s="18"/>
      <c r="J591" s="18"/>
      <c r="K591" s="104">
        <f t="shared" ref="K591:K597" si="48">SUM(H591:J591)</f>
        <v>129477.65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6023.48</v>
      </c>
      <c r="I592" s="18"/>
      <c r="J592" s="18"/>
      <c r="K592" s="104">
        <f t="shared" si="48"/>
        <v>6023.48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10112</v>
      </c>
      <c r="I595" s="18"/>
      <c r="J595" s="18"/>
      <c r="K595" s="104">
        <f t="shared" si="48"/>
        <v>10112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145613.13</v>
      </c>
      <c r="I598" s="108">
        <f>SUM(I591:I597)</f>
        <v>0</v>
      </c>
      <c r="J598" s="108">
        <f>SUM(J591:J597)</f>
        <v>0</v>
      </c>
      <c r="K598" s="108">
        <f>SUM(K591:K597)</f>
        <v>145613.13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23877.39</v>
      </c>
      <c r="I604" s="18"/>
      <c r="J604" s="18"/>
      <c r="K604" s="104">
        <f>SUM(H604:J604)</f>
        <v>23877.39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23877.39</v>
      </c>
      <c r="I605" s="108">
        <f>SUM(I602:I604)</f>
        <v>0</v>
      </c>
      <c r="J605" s="108">
        <f>SUM(J602:J604)</f>
        <v>0</v>
      </c>
      <c r="K605" s="108">
        <f>SUM(K602:K604)</f>
        <v>23877.39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v>5323.38</v>
      </c>
      <c r="G611" s="18">
        <v>994.86</v>
      </c>
      <c r="H611" s="18"/>
      <c r="I611" s="18">
        <v>751.53</v>
      </c>
      <c r="J611" s="18">
        <v>1780.83</v>
      </c>
      <c r="K611" s="18"/>
      <c r="L611" s="88">
        <f>SUM(F611:K611)</f>
        <v>8850.5999999999985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5323.38</v>
      </c>
      <c r="G614" s="108">
        <f t="shared" si="49"/>
        <v>994.86</v>
      </c>
      <c r="H614" s="108">
        <f t="shared" si="49"/>
        <v>0</v>
      </c>
      <c r="I614" s="108">
        <f t="shared" si="49"/>
        <v>751.53</v>
      </c>
      <c r="J614" s="108">
        <f t="shared" si="49"/>
        <v>1780.83</v>
      </c>
      <c r="K614" s="108">
        <f t="shared" si="49"/>
        <v>0</v>
      </c>
      <c r="L614" s="89">
        <f t="shared" si="49"/>
        <v>8850.5999999999985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81348.52</v>
      </c>
      <c r="H617" s="109">
        <f>SUM(F52)</f>
        <v>81348.51999999999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2.4800000000009277</v>
      </c>
      <c r="H618" s="109">
        <f>SUM(G52)</f>
        <v>2.48</v>
      </c>
      <c r="I618" s="121" t="s">
        <v>901</v>
      </c>
      <c r="J618" s="109">
        <f>G618-H618</f>
        <v>9.2770235937678081E-13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0</v>
      </c>
      <c r="H619" s="109">
        <f>SUM(H52)</f>
        <v>0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219177.05</v>
      </c>
      <c r="H621" s="109">
        <f>SUM(J52)</f>
        <v>219177.05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41135.21</v>
      </c>
      <c r="H622" s="109">
        <f>F476</f>
        <v>41135.209999999963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2.48</v>
      </c>
      <c r="H623" s="109">
        <f>G476</f>
        <v>2.4799999999959255</v>
      </c>
      <c r="I623" s="121" t="s">
        <v>102</v>
      </c>
      <c r="J623" s="109">
        <f t="shared" si="50"/>
        <v>4.0745185003743245E-12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219177.05</v>
      </c>
      <c r="H626" s="109">
        <f>J476</f>
        <v>219177.05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2664848.2999999998</v>
      </c>
      <c r="H627" s="104">
        <f>SUM(F468)</f>
        <v>2664848.2999999998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97400.15</v>
      </c>
      <c r="H628" s="104">
        <f>SUM(G468)</f>
        <v>97400.15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192074.72999999998</v>
      </c>
      <c r="H629" s="104">
        <f>SUM(H468)</f>
        <v>192074.73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30060.37</v>
      </c>
      <c r="H631" s="104">
        <f>SUM(J468)</f>
        <v>30060.37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2736877.78</v>
      </c>
      <c r="H632" s="104">
        <f>SUM(F472)</f>
        <v>2736877.78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192040.18</v>
      </c>
      <c r="H633" s="104">
        <f>SUM(H472)</f>
        <v>192040.18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33789.089999999997</v>
      </c>
      <c r="H634" s="104">
        <f>I369</f>
        <v>33789.089999999997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97399.75</v>
      </c>
      <c r="H635" s="104">
        <f>SUM(G472)</f>
        <v>97399.75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30060.370000000003</v>
      </c>
      <c r="H637" s="164">
        <f>SUM(J468)</f>
        <v>30060.37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42000</v>
      </c>
      <c r="H638" s="164">
        <f>SUM(J472)</f>
        <v>42000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219177.05</v>
      </c>
      <c r="H639" s="104">
        <f>SUM(F461)</f>
        <v>219177.05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0</v>
      </c>
      <c r="H640" s="104">
        <f>SUM(G461)</f>
        <v>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219177.05</v>
      </c>
      <c r="H642" s="104">
        <f>SUM(I461)</f>
        <v>219177.05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60.37</v>
      </c>
      <c r="H644" s="104">
        <f>H408</f>
        <v>60.37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30000</v>
      </c>
      <c r="H645" s="104">
        <f>G408</f>
        <v>30000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30060.37</v>
      </c>
      <c r="H646" s="104">
        <f>L408</f>
        <v>30060.370000000003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145613.13</v>
      </c>
      <c r="H647" s="104">
        <f>L208+L226+L244</f>
        <v>145613.12999999998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23877.39</v>
      </c>
      <c r="H648" s="104">
        <f>(J257+J338)-(J255+J336)</f>
        <v>23877.39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145613.12999999998</v>
      </c>
      <c r="H649" s="104">
        <f>H598</f>
        <v>145613.13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0</v>
      </c>
      <c r="H651" s="104">
        <f>J598</f>
        <v>0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33737.040000000001</v>
      </c>
      <c r="H652" s="104">
        <f>K263+K345</f>
        <v>33737.040000000001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30000</v>
      </c>
      <c r="H655" s="104">
        <f>K266+K347</f>
        <v>30000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2962580.67</v>
      </c>
      <c r="G660" s="19">
        <f>(L229+L309+L359)</f>
        <v>0</v>
      </c>
      <c r="H660" s="19">
        <f>(L247+L328+L360)</f>
        <v>0</v>
      </c>
      <c r="I660" s="19">
        <f>SUM(F660:H660)</f>
        <v>2962580.67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20316.72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20316.72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145613.12999999998</v>
      </c>
      <c r="G662" s="19">
        <f>(L226+L306)-(J226+J306)</f>
        <v>0</v>
      </c>
      <c r="H662" s="19">
        <f>(L244+L325)-(J244+J325)</f>
        <v>0</v>
      </c>
      <c r="I662" s="19">
        <f>SUM(F662:H662)</f>
        <v>145613.12999999998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54663.98</v>
      </c>
      <c r="G663" s="199">
        <f>SUM(G575:G587)+SUM(I602:I604)+L612</f>
        <v>0</v>
      </c>
      <c r="H663" s="199">
        <f>SUM(H575:H587)+SUM(J602:J604)+L613</f>
        <v>0</v>
      </c>
      <c r="I663" s="19">
        <f>SUM(F663:H663)</f>
        <v>54663.98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2741986.84</v>
      </c>
      <c r="G664" s="19">
        <f>G660-SUM(G661:G663)</f>
        <v>0</v>
      </c>
      <c r="H664" s="19">
        <f>H660-SUM(H661:H663)</f>
        <v>0</v>
      </c>
      <c r="I664" s="19">
        <f>I660-SUM(I661:I663)</f>
        <v>2741986.84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153.55000000000001</v>
      </c>
      <c r="G665" s="248"/>
      <c r="H665" s="248"/>
      <c r="I665" s="19">
        <f>SUM(F665:H665)</f>
        <v>153.55000000000001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17857.29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17857.29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17857.29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17857.29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37" sqref="B37:C37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Bethlehem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846931.45</v>
      </c>
      <c r="C9" s="229">
        <f>'DOE25'!G197+'DOE25'!G215+'DOE25'!G233+'DOE25'!G276+'DOE25'!G295+'DOE25'!G314</f>
        <v>341987.78</v>
      </c>
    </row>
    <row r="10" spans="1:3" x14ac:dyDescent="0.2">
      <c r="A10" t="s">
        <v>779</v>
      </c>
      <c r="B10" s="240">
        <v>802131.23</v>
      </c>
      <c r="C10" s="240">
        <v>338560.55</v>
      </c>
    </row>
    <row r="11" spans="1:3" x14ac:dyDescent="0.2">
      <c r="A11" t="s">
        <v>780</v>
      </c>
      <c r="B11" s="240">
        <v>4367.5</v>
      </c>
      <c r="C11" s="240">
        <v>334.12</v>
      </c>
    </row>
    <row r="12" spans="1:3" x14ac:dyDescent="0.2">
      <c r="A12" t="s">
        <v>781</v>
      </c>
      <c r="B12" s="240">
        <v>40432.720000000001</v>
      </c>
      <c r="C12" s="240">
        <v>3093.11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846931.45</v>
      </c>
      <c r="C13" s="231">
        <f>SUM(C10:C12)</f>
        <v>341987.77999999997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356518.95</v>
      </c>
      <c r="C18" s="229">
        <f>'DOE25'!G198+'DOE25'!G216+'DOE25'!G234+'DOE25'!G277+'DOE25'!G296+'DOE25'!G315</f>
        <v>143372.54</v>
      </c>
    </row>
    <row r="19" spans="1:3" x14ac:dyDescent="0.2">
      <c r="A19" t="s">
        <v>779</v>
      </c>
      <c r="B19" s="240">
        <v>218017.79</v>
      </c>
      <c r="C19" s="240">
        <v>61481.54</v>
      </c>
    </row>
    <row r="20" spans="1:3" x14ac:dyDescent="0.2">
      <c r="A20" t="s">
        <v>780</v>
      </c>
      <c r="B20" s="240">
        <v>138501.16</v>
      </c>
      <c r="C20" s="240">
        <v>81891</v>
      </c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356518.95</v>
      </c>
      <c r="C22" s="231">
        <f>SUM(C19:C21)</f>
        <v>143372.54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5040</v>
      </c>
      <c r="C36" s="235">
        <f>'DOE25'!G200+'DOE25'!G218+'DOE25'!G236+'DOE25'!G279+'DOE25'!G298+'DOE25'!G317</f>
        <v>1099.2</v>
      </c>
    </row>
    <row r="37" spans="1:3" x14ac:dyDescent="0.2">
      <c r="A37" t="s">
        <v>779</v>
      </c>
      <c r="B37" s="240">
        <v>5040</v>
      </c>
      <c r="C37" s="240">
        <v>1099.2</v>
      </c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5040</v>
      </c>
      <c r="C40" s="231">
        <f>SUM(C37:C39)</f>
        <v>1099.2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1" sqref="D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Bethlehem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1623076.97</v>
      </c>
      <c r="D5" s="20">
        <f>SUM('DOE25'!L197:L200)+SUM('DOE25'!L215:L218)+SUM('DOE25'!L233:L236)-F5-G5</f>
        <v>1604044.16</v>
      </c>
      <c r="E5" s="243"/>
      <c r="F5" s="255">
        <f>SUM('DOE25'!J197:J200)+SUM('DOE25'!J215:J218)+SUM('DOE25'!J233:J236)</f>
        <v>19032.809999999998</v>
      </c>
      <c r="G5" s="53">
        <f>SUM('DOE25'!K197:K200)+SUM('DOE25'!K215:K218)+SUM('DOE25'!K233:K236)</f>
        <v>0</v>
      </c>
      <c r="H5" s="259"/>
    </row>
    <row r="6" spans="1:9" x14ac:dyDescent="0.2">
      <c r="A6" s="32">
        <v>2100</v>
      </c>
      <c r="B6" t="s">
        <v>801</v>
      </c>
      <c r="C6" s="245">
        <f t="shared" si="0"/>
        <v>254127.25</v>
      </c>
      <c r="D6" s="20">
        <f>'DOE25'!L202+'DOE25'!L220+'DOE25'!L238-F6-G6</f>
        <v>254127.25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15297.95</v>
      </c>
      <c r="D7" s="20">
        <f>'DOE25'!L203+'DOE25'!L221+'DOE25'!L239-F7-G7</f>
        <v>4550.74</v>
      </c>
      <c r="E7" s="243"/>
      <c r="F7" s="255">
        <f>'DOE25'!J203+'DOE25'!J221+'DOE25'!J239</f>
        <v>3430.86</v>
      </c>
      <c r="G7" s="53">
        <f>'DOE25'!K203+'DOE25'!K221+'DOE25'!K239</f>
        <v>7316.35</v>
      </c>
      <c r="H7" s="259"/>
    </row>
    <row r="8" spans="1:9" x14ac:dyDescent="0.2">
      <c r="A8" s="32">
        <v>2300</v>
      </c>
      <c r="B8" t="s">
        <v>802</v>
      </c>
      <c r="C8" s="245">
        <f t="shared" si="0"/>
        <v>98333.6</v>
      </c>
      <c r="D8" s="243"/>
      <c r="E8" s="20">
        <f>'DOE25'!L204+'DOE25'!L222+'DOE25'!L240-F8-G8-D9-D11</f>
        <v>85677.94</v>
      </c>
      <c r="F8" s="255">
        <f>'DOE25'!J204+'DOE25'!J222+'DOE25'!J240</f>
        <v>0</v>
      </c>
      <c r="G8" s="53">
        <f>'DOE25'!K204+'DOE25'!K222+'DOE25'!K240</f>
        <v>12655.66</v>
      </c>
      <c r="H8" s="259"/>
    </row>
    <row r="9" spans="1:9" x14ac:dyDescent="0.2">
      <c r="A9" s="32">
        <v>2310</v>
      </c>
      <c r="B9" t="s">
        <v>818</v>
      </c>
      <c r="C9" s="245">
        <f t="shared" si="0"/>
        <v>52731.87</v>
      </c>
      <c r="D9" s="244">
        <v>52731.87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7010</v>
      </c>
      <c r="D10" s="243"/>
      <c r="E10" s="244">
        <v>7010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24583.4</v>
      </c>
      <c r="D11" s="244">
        <v>24583.4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228014.52</v>
      </c>
      <c r="D12" s="20">
        <f>'DOE25'!L205+'DOE25'!L223+'DOE25'!L241-F12-G12</f>
        <v>227333.68</v>
      </c>
      <c r="E12" s="243"/>
      <c r="F12" s="255">
        <f>'DOE25'!J205+'DOE25'!J223+'DOE25'!J241</f>
        <v>680.84</v>
      </c>
      <c r="G12" s="53">
        <f>'DOE25'!K205+'DOE25'!K223+'DOE25'!K241</f>
        <v>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231362.05</v>
      </c>
      <c r="D14" s="20">
        <f>'DOE25'!L207+'DOE25'!L225+'DOE25'!L243-F14-G14</f>
        <v>230629.16999999998</v>
      </c>
      <c r="E14" s="243"/>
      <c r="F14" s="255">
        <f>'DOE25'!J207+'DOE25'!J225+'DOE25'!J243</f>
        <v>732.88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145613.12999999998</v>
      </c>
      <c r="D15" s="20">
        <f>'DOE25'!L208+'DOE25'!L226+'DOE25'!L244-F15-G15</f>
        <v>145613.12999999998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67011.990000000005</v>
      </c>
      <c r="D29" s="20">
        <f>'DOE25'!L358+'DOE25'!L359+'DOE25'!L360-'DOE25'!I367-F29-G29</f>
        <v>67011.990000000005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192040.18</v>
      </c>
      <c r="D31" s="20">
        <f>'DOE25'!L290+'DOE25'!L309+'DOE25'!L328+'DOE25'!L333+'DOE25'!L334+'DOE25'!L335-F31-G31</f>
        <v>182263.74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9776.4399999999987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2792889.13</v>
      </c>
      <c r="E33" s="246">
        <f>SUM(E5:E31)</f>
        <v>92687.94</v>
      </c>
      <c r="F33" s="246">
        <f>SUM(F5:F31)</f>
        <v>23877.39</v>
      </c>
      <c r="G33" s="246">
        <f>SUM(G5:G31)</f>
        <v>29748.45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92687.94</v>
      </c>
      <c r="E35" s="249"/>
    </row>
    <row r="36" spans="2:8" ht="12" thickTop="1" x14ac:dyDescent="0.2">
      <c r="B36" t="s">
        <v>815</v>
      </c>
      <c r="D36" s="20">
        <f>D33</f>
        <v>2792889.13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Bethlehem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77648.52</v>
      </c>
      <c r="D8" s="95">
        <f>'DOE25'!G9</f>
        <v>-36060.25</v>
      </c>
      <c r="E8" s="95">
        <f>'DOE25'!H9</f>
        <v>-15482.42</v>
      </c>
      <c r="F8" s="95">
        <f>'DOE25'!I9</f>
        <v>0</v>
      </c>
      <c r="G8" s="95">
        <f>'DOE25'!J9</f>
        <v>219177.05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3700</v>
      </c>
      <c r="D11" s="95">
        <f>'DOE25'!G12</f>
        <v>33737.040000000001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2325.69</v>
      </c>
      <c r="E12" s="95">
        <f>'DOE25'!H13</f>
        <v>15482.42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81348.52</v>
      </c>
      <c r="D18" s="41">
        <f>SUM(D8:D17)</f>
        <v>2.4800000000009277</v>
      </c>
      <c r="E18" s="41">
        <f>SUM(E8:E17)</f>
        <v>0</v>
      </c>
      <c r="F18" s="41">
        <f>SUM(F8:F17)</f>
        <v>0</v>
      </c>
      <c r="G18" s="41">
        <f>SUM(G8:G17)</f>
        <v>219177.05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33737.040000000001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6476.27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40213.31</v>
      </c>
      <c r="D31" s="41">
        <f>SUM(D21:D30)</f>
        <v>0</v>
      </c>
      <c r="E31" s="41">
        <f>SUM(E21:E30)</f>
        <v>0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219177.05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0</v>
      </c>
      <c r="D48" s="95">
        <f>'DOE25'!G49</f>
        <v>2.48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41135.21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41135.21</v>
      </c>
      <c r="D50" s="41">
        <f>SUM(D34:D49)</f>
        <v>2.48</v>
      </c>
      <c r="E50" s="41">
        <f>SUM(E34:E49)</f>
        <v>0</v>
      </c>
      <c r="F50" s="41">
        <f>SUM(F34:F49)</f>
        <v>0</v>
      </c>
      <c r="G50" s="41">
        <f>SUM(G34:G49)</f>
        <v>219177.05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81348.51999999999</v>
      </c>
      <c r="D51" s="41">
        <f>D50+D31</f>
        <v>2.48</v>
      </c>
      <c r="E51" s="41">
        <f>E50+E31</f>
        <v>0</v>
      </c>
      <c r="F51" s="41">
        <f>F50+F31</f>
        <v>0</v>
      </c>
      <c r="G51" s="41">
        <f>G50+G31</f>
        <v>219177.05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1633429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495.82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60.37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20316.72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38419.910000000003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38915.730000000003</v>
      </c>
      <c r="D62" s="130">
        <f>SUM(D57:D61)</f>
        <v>20316.72</v>
      </c>
      <c r="E62" s="130">
        <f>SUM(E57:E61)</f>
        <v>0</v>
      </c>
      <c r="F62" s="130">
        <f>SUM(F57:F61)</f>
        <v>0</v>
      </c>
      <c r="G62" s="130">
        <f>SUM(G57:G61)</f>
        <v>60.37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1672344.73</v>
      </c>
      <c r="D63" s="22">
        <f>D56+D62</f>
        <v>20316.72</v>
      </c>
      <c r="E63" s="22">
        <f>E56+E62</f>
        <v>0</v>
      </c>
      <c r="F63" s="22">
        <f>F56+F62</f>
        <v>0</v>
      </c>
      <c r="G63" s="22">
        <f>G56+G62</f>
        <v>60.37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644643.4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248860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893503.4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884.9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884.9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893503.4</v>
      </c>
      <c r="D81" s="130">
        <f>SUM(D79:D80)+D78+D70</f>
        <v>884.9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17132.900000000001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34652.75</v>
      </c>
      <c r="D88" s="95">
        <f>SUM('DOE25'!G153:G161)</f>
        <v>42461.49</v>
      </c>
      <c r="E88" s="95">
        <f>SUM('DOE25'!H153:H161)</f>
        <v>174941.83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18647.419999999998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53300.17</v>
      </c>
      <c r="D91" s="131">
        <f>SUM(D85:D90)</f>
        <v>42461.49</v>
      </c>
      <c r="E91" s="131">
        <f>SUM(E85:E90)</f>
        <v>192074.72999999998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33737.040000000001</v>
      </c>
      <c r="E96" s="95">
        <f>'DOE25'!H179</f>
        <v>0</v>
      </c>
      <c r="F96" s="95">
        <f>'DOE25'!I179</f>
        <v>0</v>
      </c>
      <c r="G96" s="95">
        <f>'DOE25'!J179</f>
        <v>30000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45700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45700</v>
      </c>
      <c r="D103" s="86">
        <f>SUM(D93:D102)</f>
        <v>33737.040000000001</v>
      </c>
      <c r="E103" s="86">
        <f>SUM(E93:E102)</f>
        <v>0</v>
      </c>
      <c r="F103" s="86">
        <f>SUM(F93:F102)</f>
        <v>0</v>
      </c>
      <c r="G103" s="86">
        <f>SUM(G93:G102)</f>
        <v>30000</v>
      </c>
    </row>
    <row r="104" spans="1:7" ht="12.75" thickTop="1" thickBot="1" x14ac:dyDescent="0.25">
      <c r="A104" s="33" t="s">
        <v>765</v>
      </c>
      <c r="C104" s="86">
        <f>C63+C81+C91+C103</f>
        <v>2664848.2999999998</v>
      </c>
      <c r="D104" s="86">
        <f>D63+D81+D91+D103</f>
        <v>97400.15</v>
      </c>
      <c r="E104" s="86">
        <f>E63+E81+E91+E103</f>
        <v>192074.72999999998</v>
      </c>
      <c r="F104" s="86">
        <f>F63+F81+F91+F103</f>
        <v>0</v>
      </c>
      <c r="G104" s="86">
        <f>G63+G81+G103</f>
        <v>30060.37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1226185</v>
      </c>
      <c r="D109" s="24" t="s">
        <v>289</v>
      </c>
      <c r="E109" s="95">
        <f>('DOE25'!L276)+('DOE25'!L295)+('DOE25'!L314)</f>
        <v>17132.900000000001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396891.97</v>
      </c>
      <c r="D110" s="24" t="s">
        <v>289</v>
      </c>
      <c r="E110" s="95">
        <f>('DOE25'!L277)+('DOE25'!L296)+('DOE25'!L315)</f>
        <v>136629.82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0</v>
      </c>
      <c r="D112" s="24" t="s">
        <v>289</v>
      </c>
      <c r="E112" s="95">
        <f>+('DOE25'!L279)+('DOE25'!L298)+('DOE25'!L317)</f>
        <v>6139.2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1623076.97</v>
      </c>
      <c r="D115" s="86">
        <f>SUM(D109:D114)</f>
        <v>0</v>
      </c>
      <c r="E115" s="86">
        <f>SUM(E109:E114)</f>
        <v>159901.92000000001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254127.25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15297.95</v>
      </c>
      <c r="D119" s="24" t="s">
        <v>289</v>
      </c>
      <c r="E119" s="95">
        <f>+('DOE25'!L282)+('DOE25'!L301)+('DOE25'!L320)</f>
        <v>26489.9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175648.87</v>
      </c>
      <c r="D120" s="24" t="s">
        <v>289</v>
      </c>
      <c r="E120" s="95">
        <f>+('DOE25'!L283)+('DOE25'!L302)+('DOE25'!L321)</f>
        <v>5648.36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228014.52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231362.05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145613.12999999998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97399.75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1050063.7699999998</v>
      </c>
      <c r="D128" s="86">
        <f>SUM(D118:D127)</f>
        <v>97399.75</v>
      </c>
      <c r="E128" s="86">
        <f>SUM(E118:E127)</f>
        <v>32138.260000000002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42000</v>
      </c>
    </row>
    <row r="135" spans="1:7" x14ac:dyDescent="0.2">
      <c r="A135" t="s">
        <v>233</v>
      </c>
      <c r="B135" s="32" t="s">
        <v>234</v>
      </c>
      <c r="C135" s="95">
        <f>'DOE25'!L263</f>
        <v>33737.040000000001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30060.370000000003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-60.370000000002619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63737.04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42000</v>
      </c>
    </row>
    <row r="145" spans="1:9" ht="12.75" thickTop="1" thickBot="1" x14ac:dyDescent="0.25">
      <c r="A145" s="33" t="s">
        <v>244</v>
      </c>
      <c r="C145" s="86">
        <f>(C115+C128+C144)</f>
        <v>2736877.78</v>
      </c>
      <c r="D145" s="86">
        <f>(D115+D128+D144)</f>
        <v>97399.75</v>
      </c>
      <c r="E145" s="86">
        <f>(E115+E128+E144)</f>
        <v>192040.18000000002</v>
      </c>
      <c r="F145" s="86">
        <f>(F115+F128+F144)</f>
        <v>0</v>
      </c>
      <c r="G145" s="86">
        <f>(G115+G128+G144)</f>
        <v>42000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Bethlehem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17857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17857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1243318</v>
      </c>
      <c r="D10" s="182">
        <f>ROUND((C10/$C$28)*100,1)</f>
        <v>42.3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533522</v>
      </c>
      <c r="D11" s="182">
        <f>ROUND((C11/$C$28)*100,1)</f>
        <v>18.100000000000001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6139</v>
      </c>
      <c r="D13" s="182">
        <f>ROUND((C13/$C$28)*100,1)</f>
        <v>0.2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254127</v>
      </c>
      <c r="D15" s="182">
        <f t="shared" ref="D15:D27" si="0">ROUND((C15/$C$28)*100,1)</f>
        <v>8.6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41788</v>
      </c>
      <c r="D16" s="182">
        <f t="shared" si="0"/>
        <v>1.4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181297</v>
      </c>
      <c r="D17" s="182">
        <f t="shared" si="0"/>
        <v>6.2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228015</v>
      </c>
      <c r="D18" s="182">
        <f t="shared" si="0"/>
        <v>7.7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231362</v>
      </c>
      <c r="D20" s="182">
        <f t="shared" si="0"/>
        <v>7.9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145613</v>
      </c>
      <c r="D21" s="182">
        <f t="shared" si="0"/>
        <v>4.9000000000000004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77083.28</v>
      </c>
      <c r="D27" s="182">
        <f t="shared" si="0"/>
        <v>2.6</v>
      </c>
    </row>
    <row r="28" spans="1:4" x14ac:dyDescent="0.2">
      <c r="B28" s="187" t="s">
        <v>723</v>
      </c>
      <c r="C28" s="180">
        <f>SUM(C10:C27)</f>
        <v>2942264.28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2942264.28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1633429</v>
      </c>
      <c r="D35" s="182">
        <f t="shared" ref="D35:D40" si="1">ROUND((C35/$C$41)*100,1)</f>
        <v>57.2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38976.100000000093</v>
      </c>
      <c r="D36" s="182">
        <f t="shared" si="1"/>
        <v>1.4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893503</v>
      </c>
      <c r="D37" s="182">
        <f t="shared" si="1"/>
        <v>31.3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885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287836</v>
      </c>
      <c r="D39" s="182">
        <f t="shared" si="1"/>
        <v>10.1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2854629.1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Bethlehem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2014-08-26T16:44:04Z</cp:lastPrinted>
  <dcterms:created xsi:type="dcterms:W3CDTF">1997-12-04T19:04:30Z</dcterms:created>
  <dcterms:modified xsi:type="dcterms:W3CDTF">2014-08-28T13:02:59Z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-845552791</vt:i4>
  </property>
  <property fmtid="{D5CDD505-2E9C-101B-9397-08002B2CF9AE}" pid="3" name="_EmailSubject">
    <vt:lpwstr>new</vt:lpwstr>
  </property>
  <property fmtid="{D5CDD505-2E9C-101B-9397-08002B2CF9AE}" pid="4" name="_AuthorEmail">
    <vt:lpwstr>SFellows@ed.state.nh.us</vt:lpwstr>
  </property>
  <property fmtid="{D5CDD505-2E9C-101B-9397-08002B2CF9AE}" pid="5" name="_AuthorEmailDisplayName">
    <vt:lpwstr>Fellows, Sallie</vt:lpwstr>
  </property>
  <property fmtid="{D5CDD505-2E9C-101B-9397-08002B2CF9AE}" pid="6" name="_PreviousAdHocReviewCycleID">
    <vt:i4>940553107</vt:i4>
  </property>
  <property fmtid="{D5CDD505-2E9C-101B-9397-08002B2CF9AE}" pid="7" name="_ReviewingToolsShownOnce">
    <vt:lpwstr/>
  </property>
</Properties>
</file>