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0" yWindow="0" windowWidth="28800" windowHeight="142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7" i="1" l="1"/>
  <c r="C37" i="12" l="1"/>
  <c r="B37" i="12"/>
  <c r="C38" i="12"/>
  <c r="B38" i="12"/>
  <c r="B39" i="12"/>
  <c r="C39" i="12"/>
  <c r="C20" i="12" l="1"/>
  <c r="C19" i="12"/>
  <c r="B20" i="12"/>
  <c r="B19" i="12"/>
  <c r="C21" i="12"/>
  <c r="B21" i="12"/>
  <c r="C10" i="12"/>
  <c r="B10" i="12"/>
  <c r="C11" i="12"/>
  <c r="C12" i="12"/>
  <c r="B12" i="12"/>
  <c r="D9" i="13" l="1"/>
  <c r="J604" i="1"/>
  <c r="I604" i="1"/>
  <c r="H604" i="1"/>
  <c r="J591" i="1"/>
  <c r="I591" i="1"/>
  <c r="H591" i="1"/>
  <c r="J594" i="1"/>
  <c r="J595" i="1"/>
  <c r="J593" i="1"/>
  <c r="H541" i="1"/>
  <c r="I528" i="1" l="1"/>
  <c r="I527" i="1"/>
  <c r="I526" i="1"/>
  <c r="H528" i="1"/>
  <c r="H527" i="1"/>
  <c r="H526" i="1"/>
  <c r="G528" i="1"/>
  <c r="G527" i="1"/>
  <c r="G526" i="1"/>
  <c r="F528" i="1"/>
  <c r="F527" i="1"/>
  <c r="F526" i="1"/>
  <c r="K523" i="1"/>
  <c r="J523" i="1"/>
  <c r="I523" i="1"/>
  <c r="H523" i="1"/>
  <c r="G523" i="1"/>
  <c r="K522" i="1"/>
  <c r="J522" i="1"/>
  <c r="I522" i="1"/>
  <c r="H522" i="1"/>
  <c r="G522" i="1"/>
  <c r="K521" i="1"/>
  <c r="J521" i="1"/>
  <c r="I521" i="1"/>
  <c r="H521" i="1"/>
  <c r="G521" i="1"/>
  <c r="F523" i="1"/>
  <c r="F522" i="1"/>
  <c r="F521" i="1"/>
  <c r="I568" i="1"/>
  <c r="H557" i="1"/>
  <c r="G557" i="1"/>
  <c r="F557" i="1"/>
  <c r="J207" i="1"/>
  <c r="F29" i="1"/>
  <c r="F14" i="1"/>
  <c r="F9" i="1"/>
  <c r="F473" i="1" l="1"/>
  <c r="G244" i="1"/>
  <c r="G226" i="1"/>
  <c r="G208" i="1"/>
  <c r="J208" i="1"/>
  <c r="I244" i="1"/>
  <c r="I226" i="1"/>
  <c r="I208" i="1"/>
  <c r="H244" i="1"/>
  <c r="H226" i="1"/>
  <c r="H208" i="1"/>
  <c r="F244" i="1"/>
  <c r="F226" i="1"/>
  <c r="F208" i="1"/>
  <c r="K244" i="1"/>
  <c r="K226" i="1"/>
  <c r="K208" i="1"/>
  <c r="H243" i="1"/>
  <c r="H225" i="1"/>
  <c r="H207" i="1"/>
  <c r="I243" i="1"/>
  <c r="I225" i="1"/>
  <c r="I207" i="1"/>
  <c r="G243" i="1"/>
  <c r="G225" i="1"/>
  <c r="G207" i="1"/>
  <c r="F243" i="1"/>
  <c r="F225" i="1"/>
  <c r="F207" i="1"/>
  <c r="J243" i="1"/>
  <c r="J225" i="1"/>
  <c r="F242" i="1"/>
  <c r="F224" i="1"/>
  <c r="F206" i="1"/>
  <c r="G241" i="1"/>
  <c r="K241" i="1"/>
  <c r="K223" i="1"/>
  <c r="K205" i="1"/>
  <c r="J241" i="1"/>
  <c r="I241" i="1"/>
  <c r="I223" i="1"/>
  <c r="I205" i="1"/>
  <c r="H241" i="1"/>
  <c r="H223" i="1"/>
  <c r="H205" i="1"/>
  <c r="F241" i="1"/>
  <c r="F223" i="1"/>
  <c r="F205" i="1"/>
  <c r="K240" i="1"/>
  <c r="G240" i="1"/>
  <c r="G222" i="1"/>
  <c r="G204" i="1"/>
  <c r="K222" i="1"/>
  <c r="K204" i="1"/>
  <c r="J240" i="1"/>
  <c r="J222" i="1"/>
  <c r="J204" i="1"/>
  <c r="I240" i="1"/>
  <c r="I222" i="1"/>
  <c r="I204" i="1"/>
  <c r="H240" i="1"/>
  <c r="H222" i="1"/>
  <c r="H204" i="1"/>
  <c r="F240" i="1"/>
  <c r="F222" i="1"/>
  <c r="F204" i="1"/>
  <c r="H239" i="1" l="1"/>
  <c r="G239" i="1"/>
  <c r="G221" i="1"/>
  <c r="G203" i="1"/>
  <c r="J239" i="1"/>
  <c r="J221" i="1"/>
  <c r="J203" i="1"/>
  <c r="H221" i="1"/>
  <c r="H203" i="1"/>
  <c r="F239" i="1"/>
  <c r="F221" i="1"/>
  <c r="F203" i="1"/>
  <c r="I203" i="1" l="1"/>
  <c r="K239" i="1"/>
  <c r="I239" i="1"/>
  <c r="I221" i="1"/>
  <c r="F238" i="1"/>
  <c r="G220" i="1"/>
  <c r="G202" i="1"/>
  <c r="J220" i="1"/>
  <c r="J202" i="1"/>
  <c r="I220" i="1"/>
  <c r="I202" i="1"/>
  <c r="H220" i="1"/>
  <c r="H202" i="1"/>
  <c r="F220" i="1"/>
  <c r="F202" i="1"/>
  <c r="G238" i="1"/>
  <c r="I238" i="1"/>
  <c r="H238" i="1"/>
  <c r="K238" i="1"/>
  <c r="G236" i="1"/>
  <c r="F236" i="1"/>
  <c r="G218" i="1" l="1"/>
  <c r="F218" i="1"/>
  <c r="K236" i="1"/>
  <c r="J236" i="1"/>
  <c r="J218" i="1"/>
  <c r="I236" i="1"/>
  <c r="I218" i="1"/>
  <c r="I200" i="1"/>
  <c r="H236" i="1"/>
  <c r="H218" i="1"/>
  <c r="G200" i="1"/>
  <c r="K218" i="1"/>
  <c r="K200" i="1"/>
  <c r="H200" i="1"/>
  <c r="F200" i="1"/>
  <c r="F198" i="1"/>
  <c r="G216" i="1"/>
  <c r="G198" i="1"/>
  <c r="J216" i="1"/>
  <c r="I216" i="1"/>
  <c r="F216" i="1"/>
  <c r="H198" i="1"/>
  <c r="G234" i="1"/>
  <c r="F234" i="1"/>
  <c r="K234" i="1"/>
  <c r="K216" i="1"/>
  <c r="K198" i="1"/>
  <c r="J234" i="1"/>
  <c r="J198" i="1"/>
  <c r="I234" i="1"/>
  <c r="I198" i="1"/>
  <c r="H234" i="1"/>
  <c r="H216" i="1"/>
  <c r="F233" i="1" l="1"/>
  <c r="G233" i="1"/>
  <c r="G215" i="1"/>
  <c r="G197" i="1"/>
  <c r="I233" i="1"/>
  <c r="I215" i="1"/>
  <c r="I197" i="1"/>
  <c r="H233" i="1"/>
  <c r="H215" i="1"/>
  <c r="H197" i="1"/>
  <c r="K233" i="1"/>
  <c r="K215" i="1"/>
  <c r="J233" i="1"/>
  <c r="J215" i="1"/>
  <c r="J197" i="1"/>
  <c r="F215" i="1"/>
  <c r="F197" i="1"/>
  <c r="F110" i="1" l="1"/>
  <c r="F98" i="1"/>
  <c r="F63" i="1"/>
  <c r="F69" i="1"/>
  <c r="F68" i="1"/>
  <c r="H472" i="1" l="1"/>
  <c r="G277" i="1"/>
  <c r="F315" i="1"/>
  <c r="F296" i="1"/>
  <c r="F277" i="1"/>
  <c r="I315" i="1"/>
  <c r="I296" i="1"/>
  <c r="I277" i="1"/>
  <c r="H315" i="1"/>
  <c r="H296" i="1"/>
  <c r="H277" i="1"/>
  <c r="F314" i="1"/>
  <c r="F295" i="1"/>
  <c r="F276" i="1"/>
  <c r="H468" i="1"/>
  <c r="H155" i="1"/>
  <c r="J96" i="1" l="1"/>
  <c r="J465" i="1"/>
  <c r="G502" i="1"/>
  <c r="G499" i="1"/>
  <c r="F502" i="1"/>
  <c r="F499" i="1"/>
  <c r="F498" i="1"/>
  <c r="J468" i="1"/>
  <c r="G459" i="1"/>
  <c r="F459" i="1"/>
  <c r="F440" i="1"/>
  <c r="H397" i="1"/>
  <c r="H388" i="1"/>
  <c r="G12" i="1" l="1"/>
  <c r="G48" i="1"/>
  <c r="G468" i="1" l="1"/>
  <c r="G132" i="1"/>
  <c r="G97" i="1" l="1"/>
  <c r="G472" i="1"/>
  <c r="H367" i="1"/>
  <c r="G367" i="1"/>
  <c r="F367" i="1"/>
  <c r="C45" i="2" l="1"/>
  <c r="G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D39" i="13"/>
  <c r="F13" i="13"/>
  <c r="G13" i="13"/>
  <c r="L206" i="1"/>
  <c r="L224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F15" i="13"/>
  <c r="G15" i="13"/>
  <c r="L208" i="1"/>
  <c r="L226" i="1"/>
  <c r="G662" i="1" s="1"/>
  <c r="L244" i="1"/>
  <c r="G651" i="1" s="1"/>
  <c r="F17" i="13"/>
  <c r="G17" i="13"/>
  <c r="D17" i="13" s="1"/>
  <c r="C17" i="13" s="1"/>
  <c r="L251" i="1"/>
  <c r="F18" i="13"/>
  <c r="G18" i="13"/>
  <c r="F19" i="13"/>
  <c r="G19" i="13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E112" i="2" s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H79" i="1"/>
  <c r="E57" i="2" s="1"/>
  <c r="H94" i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E85" i="2" s="1"/>
  <c r="H162" i="1"/>
  <c r="I147" i="1"/>
  <c r="I162" i="1"/>
  <c r="L250" i="1"/>
  <c r="L332" i="1"/>
  <c r="L268" i="1"/>
  <c r="L269" i="1"/>
  <c r="L349" i="1"/>
  <c r="L350" i="1"/>
  <c r="I665" i="1"/>
  <c r="I670" i="1"/>
  <c r="I669" i="1"/>
  <c r="C42" i="10"/>
  <c r="C32" i="10"/>
  <c r="L374" i="1"/>
  <c r="L375" i="1"/>
  <c r="L376" i="1"/>
  <c r="F130" i="2" s="1"/>
  <c r="L377" i="1"/>
  <c r="L378" i="1"/>
  <c r="L379" i="1"/>
  <c r="L380" i="1"/>
  <c r="B2" i="10"/>
  <c r="L344" i="1"/>
  <c r="E134" i="2" s="1"/>
  <c r="L345" i="1"/>
  <c r="L346" i="1"/>
  <c r="E137" i="2" s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D18" i="2" s="1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F77" i="2"/>
  <c r="G77" i="2"/>
  <c r="G78" i="2" s="1"/>
  <c r="G81" i="2" s="1"/>
  <c r="C79" i="2"/>
  <c r="D79" i="2"/>
  <c r="E79" i="2"/>
  <c r="C80" i="2"/>
  <c r="E80" i="2"/>
  <c r="C85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C113" i="2"/>
  <c r="E113" i="2"/>
  <c r="D115" i="2"/>
  <c r="F115" i="2"/>
  <c r="G115" i="2"/>
  <c r="E119" i="2"/>
  <c r="E120" i="2"/>
  <c r="E123" i="2"/>
  <c r="E124" i="2"/>
  <c r="C125" i="2"/>
  <c r="E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G32" i="1"/>
  <c r="H32" i="1"/>
  <c r="I32" i="1"/>
  <c r="G52" i="1"/>
  <c r="H618" i="1" s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J247" i="1"/>
  <c r="K247" i="1"/>
  <c r="F256" i="1"/>
  <c r="G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G641" i="1" s="1"/>
  <c r="F452" i="1"/>
  <c r="G452" i="1"/>
  <c r="G461" i="1" s="1"/>
  <c r="H640" i="1" s="1"/>
  <c r="H452" i="1"/>
  <c r="F460" i="1"/>
  <c r="F461" i="1" s="1"/>
  <c r="H639" i="1" s="1"/>
  <c r="G460" i="1"/>
  <c r="H460" i="1"/>
  <c r="G470" i="1"/>
  <c r="H470" i="1"/>
  <c r="I470" i="1"/>
  <c r="J470" i="1"/>
  <c r="G474" i="1"/>
  <c r="H474" i="1"/>
  <c r="I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70" i="1" s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3" i="1"/>
  <c r="H628" i="1"/>
  <c r="H629" i="1"/>
  <c r="H630" i="1"/>
  <c r="H631" i="1"/>
  <c r="H633" i="1"/>
  <c r="H634" i="1"/>
  <c r="H635" i="1"/>
  <c r="H636" i="1"/>
  <c r="H637" i="1"/>
  <c r="G639" i="1"/>
  <c r="G640" i="1"/>
  <c r="G643" i="1"/>
  <c r="J643" i="1" s="1"/>
  <c r="H643" i="1"/>
  <c r="G644" i="1"/>
  <c r="H645" i="1"/>
  <c r="G650" i="1"/>
  <c r="G652" i="1"/>
  <c r="H652" i="1"/>
  <c r="G653" i="1"/>
  <c r="H653" i="1"/>
  <c r="G654" i="1"/>
  <c r="H654" i="1"/>
  <c r="H655" i="1"/>
  <c r="J655" i="1" s="1"/>
  <c r="D62" i="2"/>
  <c r="C91" i="2"/>
  <c r="D50" i="2"/>
  <c r="G161" i="2"/>
  <c r="G62" i="2"/>
  <c r="I169" i="1"/>
  <c r="G552" i="1"/>
  <c r="G476" i="1"/>
  <c r="H623" i="1" s="1"/>
  <c r="J140" i="1"/>
  <c r="G22" i="2"/>
  <c r="H140" i="1"/>
  <c r="H338" i="1"/>
  <c r="H352" i="1" s="1"/>
  <c r="G36" i="2"/>
  <c r="A13" i="12" l="1"/>
  <c r="K605" i="1"/>
  <c r="G648" i="1" s="1"/>
  <c r="J651" i="1"/>
  <c r="K598" i="1"/>
  <c r="G647" i="1" s="1"/>
  <c r="J552" i="1"/>
  <c r="L544" i="1"/>
  <c r="H545" i="1"/>
  <c r="K545" i="1"/>
  <c r="G545" i="1"/>
  <c r="H552" i="1"/>
  <c r="K550" i="1"/>
  <c r="L534" i="1"/>
  <c r="J545" i="1"/>
  <c r="I545" i="1"/>
  <c r="K551" i="1"/>
  <c r="L524" i="1"/>
  <c r="K549" i="1"/>
  <c r="K571" i="1"/>
  <c r="L565" i="1"/>
  <c r="H571" i="1"/>
  <c r="L560" i="1"/>
  <c r="F571" i="1"/>
  <c r="J571" i="1"/>
  <c r="I571" i="1"/>
  <c r="C18" i="2"/>
  <c r="L270" i="1"/>
  <c r="E16" i="13"/>
  <c r="C121" i="2"/>
  <c r="C119" i="2"/>
  <c r="C16" i="10"/>
  <c r="L243" i="1"/>
  <c r="D7" i="13"/>
  <c r="C7" i="13" s="1"/>
  <c r="C118" i="2"/>
  <c r="C112" i="2"/>
  <c r="C13" i="10"/>
  <c r="L255" i="1"/>
  <c r="F22" i="13" s="1"/>
  <c r="C22" i="13" s="1"/>
  <c r="A40" i="12"/>
  <c r="A31" i="12"/>
  <c r="H662" i="1"/>
  <c r="C21" i="10"/>
  <c r="C110" i="2"/>
  <c r="C12" i="10"/>
  <c r="G257" i="1"/>
  <c r="G271" i="1" s="1"/>
  <c r="L229" i="1"/>
  <c r="G660" i="1" s="1"/>
  <c r="G664" i="1" s="1"/>
  <c r="G667" i="1" s="1"/>
  <c r="L211" i="1"/>
  <c r="F660" i="1" s="1"/>
  <c r="F257" i="1"/>
  <c r="F271" i="1" s="1"/>
  <c r="D5" i="13"/>
  <c r="C5" i="13" s="1"/>
  <c r="K257" i="1"/>
  <c r="K271" i="1" s="1"/>
  <c r="J257" i="1"/>
  <c r="J271" i="1" s="1"/>
  <c r="E103" i="2"/>
  <c r="C78" i="2"/>
  <c r="F192" i="1"/>
  <c r="C70" i="2"/>
  <c r="F112" i="1"/>
  <c r="H476" i="1"/>
  <c r="H624" i="1" s="1"/>
  <c r="C26" i="10"/>
  <c r="E111" i="2"/>
  <c r="K338" i="1"/>
  <c r="L309" i="1"/>
  <c r="E122" i="2"/>
  <c r="E118" i="2"/>
  <c r="C18" i="10"/>
  <c r="E121" i="2"/>
  <c r="E128" i="2" s="1"/>
  <c r="L290" i="1"/>
  <c r="C11" i="10"/>
  <c r="L328" i="1"/>
  <c r="G338" i="1"/>
  <c r="G352" i="1" s="1"/>
  <c r="F338" i="1"/>
  <c r="F352" i="1" s="1"/>
  <c r="J624" i="1"/>
  <c r="E31" i="2"/>
  <c r="H52" i="1"/>
  <c r="H619" i="1" s="1"/>
  <c r="J619" i="1" s="1"/>
  <c r="H169" i="1"/>
  <c r="E62" i="2"/>
  <c r="E63" i="2" s="1"/>
  <c r="H112" i="1"/>
  <c r="G645" i="1"/>
  <c r="J645" i="1" s="1"/>
  <c r="J112" i="1"/>
  <c r="G157" i="2"/>
  <c r="I460" i="1"/>
  <c r="H461" i="1"/>
  <c r="H641" i="1" s="1"/>
  <c r="J641" i="1" s="1"/>
  <c r="I452" i="1"/>
  <c r="J640" i="1"/>
  <c r="I446" i="1"/>
  <c r="G642" i="1" s="1"/>
  <c r="J639" i="1"/>
  <c r="L433" i="1"/>
  <c r="L419" i="1"/>
  <c r="L434" i="1" s="1"/>
  <c r="H408" i="1"/>
  <c r="H644" i="1" s="1"/>
  <c r="J644" i="1" s="1"/>
  <c r="L401" i="1"/>
  <c r="C139" i="2" s="1"/>
  <c r="I408" i="1"/>
  <c r="L393" i="1"/>
  <c r="C138" i="2" s="1"/>
  <c r="J623" i="1"/>
  <c r="D31" i="2"/>
  <c r="D51" i="2" s="1"/>
  <c r="I476" i="1"/>
  <c r="H625" i="1" s="1"/>
  <c r="F78" i="2"/>
  <c r="F18" i="2"/>
  <c r="G192" i="1"/>
  <c r="D91" i="2"/>
  <c r="D81" i="2"/>
  <c r="D63" i="2"/>
  <c r="G112" i="1"/>
  <c r="H661" i="1"/>
  <c r="L362" i="1"/>
  <c r="D29" i="13"/>
  <c r="C29" i="13" s="1"/>
  <c r="G661" i="1"/>
  <c r="C16" i="13"/>
  <c r="E109" i="2"/>
  <c r="E115" i="2" s="1"/>
  <c r="C62" i="2"/>
  <c r="C63" i="2" s="1"/>
  <c r="F661" i="1"/>
  <c r="C15" i="10"/>
  <c r="C10" i="10"/>
  <c r="C81" i="2"/>
  <c r="D12" i="13"/>
  <c r="C12" i="13" s="1"/>
  <c r="L539" i="1"/>
  <c r="K352" i="1"/>
  <c r="C35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11" i="2"/>
  <c r="C56" i="2"/>
  <c r="F662" i="1"/>
  <c r="I662" i="1" s="1"/>
  <c r="K503" i="1"/>
  <c r="L382" i="1"/>
  <c r="G636" i="1" s="1"/>
  <c r="J636" i="1" s="1"/>
  <c r="H25" i="13"/>
  <c r="E81" i="2"/>
  <c r="F81" i="2"/>
  <c r="L351" i="1"/>
  <c r="H647" i="1"/>
  <c r="G625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F31" i="2"/>
  <c r="C31" i="2"/>
  <c r="E18" i="2"/>
  <c r="E144" i="2"/>
  <c r="F50" i="2"/>
  <c r="G31" i="13"/>
  <c r="G33" i="13" s="1"/>
  <c r="I338" i="1"/>
  <c r="I352" i="1" s="1"/>
  <c r="J650" i="1"/>
  <c r="L407" i="1"/>
  <c r="C140" i="2" s="1"/>
  <c r="L571" i="1"/>
  <c r="I192" i="1"/>
  <c r="E91" i="2"/>
  <c r="E104" i="2" s="1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A22" i="12"/>
  <c r="G50" i="2"/>
  <c r="J652" i="1"/>
  <c r="G571" i="1"/>
  <c r="I434" i="1"/>
  <c r="G434" i="1"/>
  <c r="I663" i="1"/>
  <c r="C27" i="10"/>
  <c r="G635" i="1"/>
  <c r="J635" i="1" s="1"/>
  <c r="G638" i="1" l="1"/>
  <c r="J472" i="1"/>
  <c r="J647" i="1"/>
  <c r="K552" i="1"/>
  <c r="C20" i="10"/>
  <c r="C123" i="2"/>
  <c r="D14" i="13"/>
  <c r="C14" i="13" s="1"/>
  <c r="C130" i="2"/>
  <c r="C29" i="10"/>
  <c r="H256" i="1"/>
  <c r="F33" i="13"/>
  <c r="L242" i="1"/>
  <c r="H247" i="1"/>
  <c r="L240" i="1"/>
  <c r="I247" i="1"/>
  <c r="C36" i="10"/>
  <c r="C104" i="2"/>
  <c r="F193" i="1"/>
  <c r="L338" i="1"/>
  <c r="L352" i="1" s="1"/>
  <c r="G633" i="1" s="1"/>
  <c r="J633" i="1" s="1"/>
  <c r="E145" i="2"/>
  <c r="I461" i="1"/>
  <c r="H642" i="1" s="1"/>
  <c r="J642" i="1" s="1"/>
  <c r="G51" i="2"/>
  <c r="L408" i="1"/>
  <c r="G637" i="1" s="1"/>
  <c r="J637" i="1" s="1"/>
  <c r="C141" i="2"/>
  <c r="H646" i="1"/>
  <c r="J646" i="1" s="1"/>
  <c r="J625" i="1"/>
  <c r="I193" i="1"/>
  <c r="G630" i="1" s="1"/>
  <c r="J630" i="1" s="1"/>
  <c r="F104" i="2"/>
  <c r="F51" i="2"/>
  <c r="I661" i="1"/>
  <c r="G672" i="1"/>
  <c r="C5" i="10" s="1"/>
  <c r="L545" i="1"/>
  <c r="F664" i="1"/>
  <c r="C25" i="13"/>
  <c r="H33" i="13"/>
  <c r="D31" i="13"/>
  <c r="C31" i="13" s="1"/>
  <c r="H648" i="1"/>
  <c r="J648" i="1" s="1"/>
  <c r="G104" i="2"/>
  <c r="G631" i="1"/>
  <c r="J631" i="1" s="1"/>
  <c r="G193" i="1"/>
  <c r="G628" i="1" s="1"/>
  <c r="J628" i="1" s="1"/>
  <c r="G626" i="1"/>
  <c r="J52" i="1"/>
  <c r="H621" i="1" s="1"/>
  <c r="J621" i="1" s="1"/>
  <c r="C38" i="10"/>
  <c r="J474" i="1" l="1"/>
  <c r="J476" i="1" s="1"/>
  <c r="H626" i="1" s="1"/>
  <c r="J626" i="1" s="1"/>
  <c r="H638" i="1"/>
  <c r="J638" i="1" s="1"/>
  <c r="G627" i="1"/>
  <c r="F468" i="1"/>
  <c r="C144" i="2"/>
  <c r="L254" i="1"/>
  <c r="C124" i="2" s="1"/>
  <c r="L252" i="1"/>
  <c r="D18" i="13" s="1"/>
  <c r="C18" i="13" s="1"/>
  <c r="I256" i="1"/>
  <c r="L256" i="1" s="1"/>
  <c r="L253" i="1"/>
  <c r="D19" i="13" s="1"/>
  <c r="C19" i="13" s="1"/>
  <c r="H257" i="1"/>
  <c r="H271" i="1" s="1"/>
  <c r="E13" i="13"/>
  <c r="C13" i="13" s="1"/>
  <c r="C19" i="10"/>
  <c r="C122" i="2"/>
  <c r="L247" i="1"/>
  <c r="E8" i="13"/>
  <c r="C17" i="10"/>
  <c r="C120" i="2"/>
  <c r="F672" i="1"/>
  <c r="C4" i="10" s="1"/>
  <c r="F667" i="1"/>
  <c r="C41" i="10"/>
  <c r="D38" i="10" s="1"/>
  <c r="H627" i="1" l="1"/>
  <c r="J627" i="1" s="1"/>
  <c r="F470" i="1"/>
  <c r="C128" i="2"/>
  <c r="I257" i="1"/>
  <c r="I271" i="1" s="1"/>
  <c r="C24" i="10"/>
  <c r="C28" i="10" s="1"/>
  <c r="D24" i="10" s="1"/>
  <c r="C114" i="2"/>
  <c r="C115" i="2" s="1"/>
  <c r="D33" i="13"/>
  <c r="D36" i="13" s="1"/>
  <c r="C8" i="13"/>
  <c r="E33" i="13"/>
  <c r="D35" i="13" s="1"/>
  <c r="H660" i="1"/>
  <c r="L257" i="1"/>
  <c r="L271" i="1" s="1"/>
  <c r="D37" i="10"/>
  <c r="D36" i="10"/>
  <c r="D35" i="10"/>
  <c r="D40" i="10"/>
  <c r="D39" i="10"/>
  <c r="C145" i="2" l="1"/>
  <c r="D18" i="10"/>
  <c r="D15" i="10"/>
  <c r="D27" i="10"/>
  <c r="D22" i="10"/>
  <c r="D23" i="10"/>
  <c r="D12" i="10"/>
  <c r="D19" i="10"/>
  <c r="C30" i="10"/>
  <c r="D16" i="10"/>
  <c r="D26" i="10"/>
  <c r="D10" i="10"/>
  <c r="D11" i="10"/>
  <c r="D21" i="10"/>
  <c r="D13" i="10"/>
  <c r="D20" i="10"/>
  <c r="D25" i="10"/>
  <c r="D17" i="10"/>
  <c r="G632" i="1"/>
  <c r="F472" i="1"/>
  <c r="H664" i="1"/>
  <c r="I660" i="1"/>
  <c r="I664" i="1" s="1"/>
  <c r="D41" i="10"/>
  <c r="D28" i="10" l="1"/>
  <c r="F474" i="1"/>
  <c r="F476" i="1" s="1"/>
  <c r="H632" i="1"/>
  <c r="J632" i="1" s="1"/>
  <c r="I672" i="1"/>
  <c r="C7" i="10" s="1"/>
  <c r="I667" i="1"/>
  <c r="H667" i="1"/>
  <c r="H672" i="1"/>
  <c r="C6" i="10" s="1"/>
  <c r="H622" i="1" l="1"/>
  <c r="F50" i="1"/>
  <c r="F51" i="1" l="1"/>
  <c r="C49" i="2"/>
  <c r="C50" i="2" s="1"/>
  <c r="C51" i="2" s="1"/>
  <c r="G622" i="1" l="1"/>
  <c r="F52" i="1"/>
  <c r="H617" i="1" s="1"/>
  <c r="J617" i="1" s="1"/>
  <c r="J622" i="1" l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<sst xmlns="http://schemas.openxmlformats.org/spreadsheetml/2006/main" count="3962" uniqueCount="920">
  <si>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</si>
  <si>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</si>
  <si>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</si>
  <si>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</si>
  <si>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</si>
  <si>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</si>
  <si>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</si>
  <si>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</si>
  <si>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</si>
  <si>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</si>
  <si>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</si>
  <si>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</si>
  <si>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</si>
  <si>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</si>
  <si>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</si>
  <si>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</si>
  <si>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</si>
  <si>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</si>
  <si>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</si>
  <si>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</si>
  <si>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</si>
  <si>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</si>
  <si>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</si>
  <si>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</si>
  <si>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</si>
  <si>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</si>
  <si>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</si>
  <si>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</si>
  <si>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</si>
  <si>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</si>
  <si>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</si>
  <si>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</si>
  <si>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</si>
  <si>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</si>
  <si>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</si>
  <si>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</si>
  <si>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</si>
  <si>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</si>
  <si>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</si>
  <si>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</si>
  <si>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</si>
  <si>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</si>
  <si>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</si>
  <si>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</si>
  <si>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</si>
  <si>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</si>
  <si>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</si>
  <si>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</si>
  <si>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</si>
  <si>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</si>
  <si>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</si>
  <si>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</si>
  <si>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</si>
  <si>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</si>
  <si>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</si>
  <si>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</si>
  <si>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</si>
  <si>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</si>
  <si>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</si>
  <si>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</si>
  <si>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</si>
  <si>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</si>
  <si>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</si>
  <si>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</si>
  <si>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</si>
  <si>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</si>
  <si>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</si>
  <si>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</si>
  <si>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</si>
  <si>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</si>
  <si>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</si>
  <si>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</si>
  <si>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</si>
  <si>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</si>
  <si>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</si>
  <si>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</si>
  <si>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</si>
  <si>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</si>
  <si>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</si>
  <si>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</si>
  <si>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</si>
  <si>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</si>
  <si>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</si>
  <si>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</si>
  <si>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</si>
  <si>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</si>
  <si>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</si>
  <si>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</si>
  <si>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</si>
  <si>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</si>
  <si>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</si>
  <si>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</si>
  <si>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</si>
  <si>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</si>
  <si>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</si>
  <si>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</si>
  <si>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</si>
  <si>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</si>
  <si>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</si>
  <si>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</si>
  <si>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</si>
  <si>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</si>
  <si>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</si>
  <si>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</si>
  <si>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</si>
  <si>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</si>
  <si>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</si>
  <si>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</si>
  <si>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</si>
  <si>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</si>
  <si>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</si>
  <si>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</si>
  <si>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</si>
  <si>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</si>
  <si>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</si>
  <si>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</si>
  <si>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</si>
  <si>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</si>
  <si>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</si>
  <si>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</si>
  <si>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</si>
  <si>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</si>
  <si>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</si>
  <si>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</si>
  <si>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</si>
  <si>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</si>
  <si>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</si>
  <si>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</si>
  <si>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</si>
  <si>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</si>
  <si>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</si>
  <si>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</si>
  <si>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</si>
  <si>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</si>
  <si>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</si>
  <si>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</si>
  <si>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</si>
  <si>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</si>
  <si>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</si>
  <si>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</si>
  <si>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</si>
  <si>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</si>
  <si>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</si>
  <si>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</si>
  <si>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</si>
  <si>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</si>
  <si>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</si>
  <si>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</si>
  <si>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</si>
  <si>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</si>
  <si>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</si>
  <si>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</si>
  <si>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</si>
  <si>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</si>
  <si>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</si>
  <si>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</si>
  <si>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</si>
  <si>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</si>
  <si>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</si>
  <si>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</si>
  <si>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</si>
  <si>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</si>
  <si>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</si>
  <si>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</si>
  <si>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</si>
  <si>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</si>
  <si>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</si>
  <si>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</si>
  <si>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</si>
  <si>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</si>
  <si>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</si>
  <si>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</si>
  <si>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</si>
  <si>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</si>
  <si>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</si>
  <si>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</si>
  <si>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</si>
  <si>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</si>
  <si>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</si>
  <si>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</si>
  <si>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</si>
  <si>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</si>
  <si>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</si>
  <si>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</si>
  <si>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</si>
  <si>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</si>
  <si>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</si>
  <si>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</si>
  <si>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</si>
  <si>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</si>
  <si>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</si>
  <si>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</si>
  <si>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</si>
  <si>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</si>
  <si>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</si>
  <si>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</si>
  <si>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</si>
  <si>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</si>
  <si>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</si>
  <si>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</si>
  <si>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</si>
  <si>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</si>
  <si>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</si>
  <si>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</si>
  <si>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</si>
  <si>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</si>
  <si>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</si>
  <si>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</si>
  <si>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</si>
  <si>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</si>
  <si>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</si>
  <si>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</si>
  <si>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</si>
  <si>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</si>
  <si>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</si>
  <si>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</si>
  <si>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</si>
  <si>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</si>
  <si>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</si>
  <si>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</si>
  <si>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</si>
  <si>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</si>
  <si>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</si>
  <si>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</si>
  <si>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</si>
  <si>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</si>
  <si>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</si>
  <si>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</si>
  <si>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</si>
  <si>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</si>
  <si>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</si>
  <si>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</si>
  <si>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</si>
  <si>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</si>
  <si>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</si>
  <si>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</si>
  <si>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</si>
  <si>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</si>
  <si>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</si>
  <si>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</si>
  <si>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</si>
  <si>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</si>
  <si>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</si>
  <si>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</si>
  <si>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</si>
  <si>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</si>
  <si>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</si>
  <si>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</si>
  <si>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</si>
  <si>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</si>
  <si>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</si>
  <si>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</si>
  <si>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</si>
  <si>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</si>
  <si>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</si>
  <si>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</si>
  <si>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</si>
  <si>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</si>
  <si>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</si>
  <si>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</si>
  <si>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</si>
  <si>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</si>
  <si>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</si>
  <si>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</si>
  <si>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</si>
  <si>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</si>
  <si>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</si>
  <si>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</si>
  <si>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</si>
  <si>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</si>
  <si>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</si>
  <si>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</si>
  <si>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</si>
  <si>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</si>
  <si>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</si>
  <si>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</si>
  <si>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</si>
  <si>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</si>
  <si>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</si>
  <si>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</si>
  <si>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</si>
  <si>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</si>
  <si>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</si>
  <si>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</si>
  <si>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</si>
  <si>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</si>
  <si>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</si>
  <si>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</si>
  <si>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</si>
  <si>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</si>
  <si>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</si>
  <si>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</si>
  <si>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</si>
  <si>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</si>
  <si>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</si>
  <si>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</si>
  <si>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</si>
  <si>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</si>
  <si>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</si>
  <si>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</si>
  <si>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</si>
  <si>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</si>
  <si>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</si>
  <si>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</si>
  <si>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</si>
  <si>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</si>
  <si>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</si>
  <si>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</si>
  <si>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</si>
  <si>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</si>
  <si>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</si>
  <si>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</si>
  <si>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</si>
  <si>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</si>
  <si>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</si>
  <si>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</si>
  <si>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</si>
  <si>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</si>
  <si>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</si>
  <si>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</si>
  <si>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</si>
  <si>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</si>
  <si>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</si>
  <si>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</si>
  <si>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</si>
  <si>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</si>
  <si>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</si>
  <si>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</si>
  <si>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</si>
  <si>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</si>
  <si>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</si>
  <si>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</si>
  <si>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</si>
  <si>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</si>
  <si>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</si>
  <si>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</si>
  <si>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</si>
  <si>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</si>
  <si>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</si>
  <si>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</si>
  <si>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</si>
  <si>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</si>
  <si>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</si>
  <si>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</si>
  <si>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</si>
  <si>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</si>
  <si>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</si>
  <si>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</si>
  <si>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</si>
  <si>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</si>
  <si>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</si>
  <si>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</si>
  <si>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</si>
  <si>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</si>
  <si>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</si>
  <si>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</si>
  <si>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</si>
  <si>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</si>
  <si>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</si>
  <si>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</si>
  <si>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</si>
  <si>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</si>
  <si>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</si>
  <si>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</si>
  <si>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</si>
  <si>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</si>
  <si>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</si>
  <si>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</si>
  <si>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</si>
  <si>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</si>
  <si>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</si>
  <si>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</si>
  <si>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</si>
  <si>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</si>
  <si>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</si>
  <si>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</si>
  <si>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</si>
  <si>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</si>
  <si>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</si>
  <si>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</si>
  <si>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</si>
  <si>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</si>
  <si>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</si>
  <si>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</si>
  <si>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</si>
  <si>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</si>
  <si>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</si>
  <si>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</si>
  <si>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</si>
  <si>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</si>
  <si>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</si>
  <si>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</si>
  <si>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</si>
  <si>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</si>
  <si>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</si>
  <si>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</si>
  <si>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</si>
  <si>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</si>
  <si>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</si>
  <si>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</si>
  <si>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</si>
  <si>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</si>
  <si>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</si>
  <si>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</si>
  <si>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</si>
  <si>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</si>
  <si>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</si>
  <si>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</si>
  <si>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</si>
  <si>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</si>
  <si>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</si>
  <si>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</si>
  <si>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</si>
  <si>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</si>
  <si>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</si>
  <si>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</si>
  <si>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</si>
  <si>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</si>
  <si>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</si>
  <si>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</si>
  <si>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</si>
  <si>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</si>
  <si>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</si>
  <si>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</si>
  <si>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</si>
  <si>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</si>
  <si>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</si>
  <si>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</si>
  <si>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</si>
  <si>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</si>
  <si>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</si>
  <si>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</si>
  <si>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</si>
  <si>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</si>
  <si>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</si>
  <si>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</si>
  <si>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</si>
  <si>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</si>
  <si>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</si>
  <si>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</si>
  <si>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</si>
  <si>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</si>
  <si>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</si>
  <si>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</si>
  <si>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</si>
  <si>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</si>
  <si>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</si>
  <si>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</si>
  <si>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</si>
  <si>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</si>
  <si>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</si>
  <si>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</si>
  <si>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</si>
  <si>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</si>
  <si>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</si>
  <si>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</si>
  <si>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</si>
  <si>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</si>
  <si>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</si>
  <si>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</si>
  <si>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</si>
  <si>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</si>
  <si>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</si>
  <si>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</si>
  <si>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</si>
  <si>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</si>
  <si>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</si>
  <si>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</si>
  <si>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</si>
  <si>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</si>
  <si>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</si>
  <si>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</si>
  <si>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</si>
  <si>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</si>
  <si>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</si>
  <si>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</si>
  <si>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</si>
  <si>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</si>
  <si>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</si>
  <si>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</si>
  <si>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</si>
  <si>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</si>
  <si>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</si>
  <si>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</si>
  <si>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</si>
  <si>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</si>
  <si>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</si>
  <si>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</si>
  <si>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</si>
  <si>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</si>
  <si>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</si>
  <si>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</si>
  <si>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</si>
  <si>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</si>
  <si>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</si>
  <si>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</si>
  <si>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</si>
  <si>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</si>
  <si>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</si>
  <si>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</si>
  <si>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</si>
  <si>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</si>
  <si>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</si>
  <si>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</si>
  <si>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</si>
  <si>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</si>
  <si>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</si>
  <si>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</si>
  <si>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</si>
  <si>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</si>
  <si>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</si>
  <si>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</si>
  <si>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</si>
  <si>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</si>
  <si>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</si>
  <si>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</si>
  <si>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</si>
  <si>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</si>
  <si>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</si>
  <si>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</si>
  <si>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</si>
  <si>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</si>
  <si>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</si>
  <si>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</si>
  <si>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</si>
  <si>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</si>
  <si>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</si>
  <si>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</si>
  <si>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</si>
  <si>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</si>
  <si>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</si>
  <si>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</si>
  <si>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</si>
  <si>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</si>
  <si>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</si>
  <si>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</si>
  <si>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</si>
  <si>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</si>
  <si>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</si>
  <si>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</si>
  <si>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</si>
  <si>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</si>
  <si>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</si>
  <si>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</si>
  <si>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</si>
  <si>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</si>
  <si>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</si>
  <si>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</si>
  <si>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</si>
  <si>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</si>
  <si>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</si>
  <si>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</si>
  <si>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</si>
  <si>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</si>
  <si>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</si>
  <si>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</si>
  <si>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</si>
  <si>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</si>
  <si>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</si>
  <si>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</si>
  <si>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</si>
  <si>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</si>
  <si>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</si>
  <si>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</si>
  <si>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</si>
  <si>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</si>
  <si>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</si>
  <si>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</si>
  <si>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</si>
  <si>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</si>
  <si>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</si>
  <si>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</si>
  <si>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</si>
  <si>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</si>
  <si>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</si>
  <si>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</si>
  <si>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</si>
  <si>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</si>
  <si>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</si>
  <si>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</si>
  <si>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</si>
  <si>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</si>
  <si>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</si>
  <si>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</si>
  <si>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</si>
  <si>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</si>
  <si>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</si>
  <si>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</si>
  <si>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</si>
  <si>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</si>
  <si>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</si>
  <si>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</si>
  <si>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</si>
  <si>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</si>
  <si>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</si>
  <si>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</si>
  <si>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</si>
  <si>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</si>
  <si>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</si>
  <si>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</si>
  <si>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</si>
  <si>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</si>
  <si>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</si>
  <si>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</si>
  <si>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</si>
  <si>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</si>
  <si>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</si>
  <si>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</si>
  <si>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</si>
  <si>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</si>
  <si>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</si>
  <si>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</si>
  <si>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</si>
  <si>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</si>
  <si>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</si>
  <si>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</si>
  <si>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</si>
  <si>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</si>
  <si>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</si>
  <si>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</si>
  <si>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</si>
  <si>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</si>
  <si>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</si>
  <si>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</si>
  <si>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</si>
  <si>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</si>
  <si>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</si>
  <si>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</si>
  <si>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</si>
  <si>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</si>
  <si>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</si>
  <si>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</si>
  <si>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</si>
  <si>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</si>
  <si>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</si>
  <si>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</si>
  <si>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</si>
  <si>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</si>
  <si>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</si>
  <si>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</si>
  <si>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</si>
  <si>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</si>
  <si>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</si>
  <si>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</si>
  <si>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</si>
  <si>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</si>
  <si>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</si>
  <si>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</si>
  <si>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</si>
  <si>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</si>
  <si>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</si>
  <si>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</si>
  <si>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</si>
  <si>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</si>
  <si>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</si>
  <si>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</si>
  <si>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</si>
  <si>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</si>
  <si>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</si>
  <si>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</si>
  <si>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</si>
  <si>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</si>
  <si>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</si>
  <si>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</si>
  <si>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</si>
  <si>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</si>
  <si>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</si>
  <si>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</si>
  <si>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</si>
  <si>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</si>
  <si>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</si>
  <si>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</si>
  <si>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</si>
  <si>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</si>
  <si>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</si>
  <si>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</si>
  <si>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</si>
  <si>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</si>
  <si>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</si>
  <si>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</si>
  <si>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</si>
  <si>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</si>
  <si>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</si>
  <si>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</si>
  <si>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</si>
  <si>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</si>
  <si>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</si>
  <si>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</si>
  <si>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</si>
  <si>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</si>
  <si>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</si>
  <si>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</si>
  <si>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</si>
  <si>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</si>
  <si>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</si>
  <si>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</si>
  <si>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</si>
  <si>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</si>
  <si>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</si>
  <si>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</si>
  <si>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</si>
  <si>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</si>
  <si>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</si>
  <si>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</si>
  <si>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</si>
  <si>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</si>
  <si>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</si>
  <si>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</si>
  <si>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</si>
  <si>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</si>
  <si>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</si>
  <si>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</si>
  <si>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</si>
  <si>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</si>
  <si>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</si>
  <si>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</si>
  <si>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</si>
  <si>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</si>
  <si>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</si>
  <si>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</si>
  <si>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</si>
  <si>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</si>
  <si>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</si>
  <si>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</si>
  <si>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</si>
  <si>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</si>
  <si>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</si>
  <si>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</si>
  <si>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</si>
  <si>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</si>
  <si>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</si>
  <si>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</si>
  <si>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</si>
  <si>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</si>
  <si>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</si>
  <si>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</si>
  <si>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</si>
  <si>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</si>
  <si>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</si>
  <si>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</si>
  <si>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</si>
  <si>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</si>
  <si>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</si>
  <si>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</si>
  <si>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</si>
  <si>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</si>
  <si>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</si>
  <si>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</si>
  <si>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</si>
  <si>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</si>
  <si>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</si>
  <si>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</si>
  <si>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</si>
  <si>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</si>
  <si>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</si>
  <si>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</si>
  <si>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</si>
  <si>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</si>
  <si>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</si>
  <si>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</si>
  <si>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</si>
  <si>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</si>
  <si>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</si>
  <si>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</si>
  <si>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</si>
  <si>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</si>
  <si>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</si>
  <si>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</si>
  <si>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</si>
  <si>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</si>
  <si>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</si>
  <si>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</si>
  <si>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</si>
  <si>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</si>
  <si>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</si>
  <si>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</si>
  <si>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</si>
  <si>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</si>
  <si>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</si>
  <si>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</si>
  <si>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</si>
  <si>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</si>
  <si>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</si>
  <si>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</si>
  <si>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</si>
  <si>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</si>
  <si>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</si>
  <si>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</si>
  <si>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</si>
  <si>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</si>
  <si>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</si>
  <si>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</si>
  <si>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</si>
  <si>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</si>
  <si>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</si>
  <si>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</si>
  <si>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</si>
  <si>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</si>
  <si>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</si>
  <si>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</si>
  <si>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</si>
  <si>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</si>
  <si>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</si>
  <si>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</si>
  <si>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</si>
  <si>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</si>
  <si>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</si>
  <si>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</si>
  <si>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</si>
  <si>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</si>
  <si>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</si>
  <si>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</si>
  <si>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</si>
  <si>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</si>
  <si>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</si>
  <si>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</si>
  <si>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</si>
  <si>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</si>
  <si>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</si>
  <si>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</si>
  <si>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</si>
  <si>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</si>
  <si>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</si>
  <si>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</si>
  <si>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</si>
  <si>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</si>
  <si>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</si>
  <si>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</si>
  <si>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</si>
  <si>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</si>
  <si>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</si>
  <si>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</si>
  <si>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</si>
  <si>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</si>
  <si>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</si>
  <si>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</si>
  <si>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</si>
  <si>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</si>
  <si>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</si>
  <si>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</si>
  <si>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</si>
  <si>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</si>
  <si>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</si>
  <si>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</si>
  <si>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</si>
  <si>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</si>
  <si>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</si>
  <si>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</si>
  <si>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</si>
  <si>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</si>
  <si>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</si>
  <si>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</si>
  <si>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</si>
  <si>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</si>
  <si>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</si>
  <si>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</si>
  <si>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</si>
  <si>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</si>
  <si>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</si>
  <si>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</si>
  <si>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</si>
  <si>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</si>
  <si>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</si>
  <si>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</si>
  <si>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</si>
  <si>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</si>
  <si>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</si>
  <si>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</si>
  <si>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</si>
  <si>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</si>
  <si>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</si>
  <si>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</si>
  <si>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</si>
  <si>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</si>
  <si>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</si>
  <si>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</si>
  <si>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</si>
  <si>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</si>
  <si>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</si>
  <si>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</si>
  <si>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</si>
  <si>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</si>
  <si>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</si>
  <si>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</si>
  <si>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</si>
  <si>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</si>
  <si>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</si>
  <si>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</si>
  <si>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</si>
  <si>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</si>
  <si>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</si>
  <si>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</si>
  <si>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</si>
  <si>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</si>
  <si>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</si>
  <si>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</si>
  <si>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</si>
  <si>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</si>
  <si>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</si>
  <si>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</si>
  <si>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</si>
  <si>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</si>
  <si>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</si>
  <si>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</si>
  <si>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</si>
  <si>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</si>
  <si>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</si>
  <si>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</si>
  <si>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</si>
  <si>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</si>
  <si>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</si>
  <si>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BOW SCHOOL DISTRICT</t>
  </si>
  <si>
    <t>8/15/96</t>
  </si>
  <si>
    <t>8/20/16</t>
  </si>
  <si>
    <t>7/1/2006</t>
  </si>
  <si>
    <t>7/1/2026</t>
  </si>
  <si>
    <t>Audit Adjustment - Prior Year</t>
  </si>
  <si>
    <t>Health Trust and Primex refunds of contributions were allocated as a reduction to various benefit expense accounts.</t>
  </si>
  <si>
    <t>Primex refund imapcted workers compensation accounts</t>
  </si>
  <si>
    <t>Health Trust refund impacted health and dental insruance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</si>
</sst>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57</v>
      </c>
      <c r="C2" s="21">
        <v>57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812812.79+6177.38</f>
        <v>818990.17</v>
      </c>
      <c r="G9" s="18">
        <v>-5</v>
      </c>
      <c r="H9" s="18">
        <v>0</v>
      </c>
      <c r="I9" s="18">
        <v>0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1237728.24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f>45755.2-4225.81</f>
        <v>41529.39</v>
      </c>
      <c r="H12" s="18">
        <v>0</v>
      </c>
      <c r="I12" s="18">
        <v>0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0</v>
      </c>
      <c r="H13" s="18">
        <v>43290.21</v>
      </c>
      <c r="I13" s="18">
        <v>0</v>
      </c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34584.35</f>
        <v>34584.35</v>
      </c>
      <c r="G14" s="18">
        <v>4230.8100000000004</v>
      </c>
      <c r="H14" s="18">
        <v>0</v>
      </c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24512.6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878087.12</v>
      </c>
      <c r="G19" s="41">
        <f>SUM(G9:G18)</f>
        <v>45755.199999999997</v>
      </c>
      <c r="H19" s="41">
        <f>SUM(H9:H18)</f>
        <v>43290.21</v>
      </c>
      <c r="I19" s="41">
        <f>SUM(I9:I18)</f>
        <v>0</v>
      </c>
      <c r="J19" s="41">
        <f>SUM(J9:J18)</f>
        <v>1237728.24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35445.910000000003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43290.21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300667.96000000002</v>
      </c>
      <c r="G24" s="18">
        <v>147.72</v>
      </c>
      <c r="H24" s="18">
        <v>0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47072.25</v>
      </c>
      <c r="G25" s="145">
        <v>4886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14380-100+16383.27-3638.99-99.12</f>
        <v>26925.16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4600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414711.27999999997</v>
      </c>
      <c r="G32" s="41">
        <f>SUM(G22:G31)</f>
        <v>5033.72</v>
      </c>
      <c r="H32" s="41">
        <f>SUM(H22:H31)</f>
        <v>43290.21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f>G476</f>
        <v>40721.480000000098</v>
      </c>
      <c r="H48" s="18">
        <v>0</v>
      </c>
      <c r="I48" s="18">
        <v>0</v>
      </c>
      <c r="J48" s="13">
        <f>SUM(I459)</f>
        <v>1237728.24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F476</f>
        <v>463375.83999999613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463375.83999999613</v>
      </c>
      <c r="G51" s="41">
        <f>SUM(G35:G50)</f>
        <v>40721.480000000098</v>
      </c>
      <c r="H51" s="41">
        <f>SUM(H35:H50)</f>
        <v>0</v>
      </c>
      <c r="I51" s="41">
        <f>SUM(I35:I50)</f>
        <v>0</v>
      </c>
      <c r="J51" s="41">
        <f>SUM(J35:J50)</f>
        <v>1237728.24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878087.11999999615</v>
      </c>
      <c r="G52" s="41">
        <f>G51+G32</f>
        <v>45755.200000000099</v>
      </c>
      <c r="H52" s="41">
        <f>H51+H32</f>
        <v>43290.21</v>
      </c>
      <c r="I52" s="41">
        <f>I51+I32</f>
        <v>0</v>
      </c>
      <c r="J52" s="41">
        <f>J51+J32</f>
        <v>1237728.24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17869590</v>
      </c>
      <c r="G57" s="18">
        <v>0</v>
      </c>
      <c r="H57" s="18">
        <v>0</v>
      </c>
      <c r="I57" s="18">
        <v>0</v>
      </c>
      <c r="J57" s="18">
        <v>0</v>
      </c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17869590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753.75+753.75+1060.25+1060.25+1060.25+753.75+700+753.75+753.75+848.2+1060.25+350+753.75+848.2+2182.62+848.2+791.06+753.75+993.58+993.58+753.75+753.75+1000+600+753.75+200+993.58+753.75+300+791.06+993.58+753.75+750+760+791.06+1200.5+753.75+993.58+753.75+993.58+1500+1915.93+2000+791.06+1915.93+791.06+753.75+757.5+993.57+747.5+753.75+791.06+1040.5+993.57+1915.93+753.75+993.59+1915.91+791.04+461.25+13563.5-4943.5</f>
        <v>64912.53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2875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f>6270.3+1114.72+29750+6270.5+29750+6270.5+17234.1</f>
        <v>96660.12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f>2471.75*2</f>
        <v>4943.5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169391.15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1722.85</v>
      </c>
      <c r="G96" s="18">
        <v>0</v>
      </c>
      <c r="H96" s="18">
        <v>0</v>
      </c>
      <c r="I96" s="18">
        <v>0</v>
      </c>
      <c r="J96" s="18">
        <f>L408</f>
        <v>26833.140000000003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101650.81+148480.01+175843.64</f>
        <v>425974.46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f>29013.34+8906</f>
        <v>37919.339999999997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2175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3465.83+446142.47+76224.82</f>
        <v>525833.12</v>
      </c>
      <c r="G110" s="18">
        <v>4815.5200000000004</v>
      </c>
      <c r="H110" s="18">
        <v>0</v>
      </c>
      <c r="I110" s="18">
        <v>0</v>
      </c>
      <c r="J110" s="18">
        <v>0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567650.30999999994</v>
      </c>
      <c r="G111" s="41">
        <f>SUM(G96:G110)</f>
        <v>430789.98000000004</v>
      </c>
      <c r="H111" s="41">
        <f>SUM(H96:H110)</f>
        <v>0</v>
      </c>
      <c r="I111" s="41">
        <f>SUM(I96:I110)</f>
        <v>0</v>
      </c>
      <c r="J111" s="41">
        <f>SUM(J96:J110)</f>
        <v>26833.140000000003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18606631.459999997</v>
      </c>
      <c r="G112" s="41">
        <f>G60+G111</f>
        <v>430789.98000000004</v>
      </c>
      <c r="H112" s="41">
        <f>H60+H79+H94+H111</f>
        <v>0</v>
      </c>
      <c r="I112" s="41">
        <f>I60+I111</f>
        <v>0</v>
      </c>
      <c r="J112" s="41">
        <f>J60+J111</f>
        <v>26833.140000000003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f>3471719.26-11136</f>
        <v>3460583.26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2162713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11136</v>
      </c>
      <c r="G120" s="18">
        <v>0</v>
      </c>
      <c r="H120" s="18">
        <v>0</v>
      </c>
      <c r="I120" s="18">
        <v>0</v>
      </c>
      <c r="J120" s="18">
        <v>0</v>
      </c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5634432.2599999998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313323.82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130914.27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8787.6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3977.59+20430.73</f>
        <v>24408.32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453025.69</v>
      </c>
      <c r="G136" s="41">
        <f>SUM(G123:G135)</f>
        <v>24408.32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6087457.9500000002</v>
      </c>
      <c r="G140" s="41">
        <f>G121+SUM(G136:G137)</f>
        <v>24408.32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236161.7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2960.1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32131.4+1062.39</f>
        <v>33193.79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57860.78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84493.57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84493.57</v>
      </c>
      <c r="G162" s="41">
        <f>SUM(G150:G161)</f>
        <v>57860.78</v>
      </c>
      <c r="H162" s="41">
        <f>SUM(H150:H161)</f>
        <v>272315.59000000003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/>
      <c r="H163" s="18">
        <v>0</v>
      </c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84493.57</v>
      </c>
      <c r="G169" s="41">
        <f>G147+G162+SUM(G163:G168)</f>
        <v>57860.78</v>
      </c>
      <c r="H169" s="41">
        <f>H147+H162+SUM(H163:H168)</f>
        <v>272315.59000000003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0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0</v>
      </c>
      <c r="J181" s="18">
        <v>0</v>
      </c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>
        <v>0</v>
      </c>
      <c r="I182" s="24" t="s">
        <v>289</v>
      </c>
      <c r="J182" s="18">
        <v>0</v>
      </c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60000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60000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60000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24838582.979999997</v>
      </c>
      <c r="G193" s="47">
        <f>G112+G140+G169+G192</f>
        <v>513059.08000000007</v>
      </c>
      <c r="H193" s="47">
        <f>H112+H140+H169+H192</f>
        <v>272315.59000000003</v>
      </c>
      <c r="I193" s="47">
        <f>I112+I140+I169+I192</f>
        <v>0</v>
      </c>
      <c r="J193" s="47">
        <f>J112+J140+J192</f>
        <v>26833.140000000003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1655669.36+28163.34</f>
        <v>1683832.7000000002</v>
      </c>
      <c r="G197" s="18">
        <f>27924.45+821933.86</f>
        <v>849858.30999999994</v>
      </c>
      <c r="H197" s="18">
        <f>45.33+14066.26+534.6</f>
        <v>14646.19</v>
      </c>
      <c r="I197" s="18">
        <f>3248.55+535.04+1744.38+10867.37+224.53+121.44+1737.19+318.14+927.49+24652.96+494.46+14224.82+5926.24</f>
        <v>65022.609999999993</v>
      </c>
      <c r="J197" s="18">
        <f>510.64+776+3249.68</f>
        <v>4536.32</v>
      </c>
      <c r="K197" s="18">
        <v>0</v>
      </c>
      <c r="L197" s="19">
        <f>SUM(F197:K197)</f>
        <v>2617896.13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397894.65+395669.18+8364+41325.43+67279</f>
        <v>910532.26000000013</v>
      </c>
      <c r="G198" s="18">
        <f>590.67+398122.17+22301.32</f>
        <v>421014.16</v>
      </c>
      <c r="H198" s="18">
        <f>1267.93+155159.98+29162+606.71+17236.01</f>
        <v>203432.63</v>
      </c>
      <c r="I198" s="18">
        <f>2233</f>
        <v>2233</v>
      </c>
      <c r="J198" s="18">
        <f>1189.04</f>
        <v>1189.04</v>
      </c>
      <c r="K198" s="18">
        <f>459.27</f>
        <v>459.27</v>
      </c>
      <c r="L198" s="19">
        <f>SUM(F198:K198)</f>
        <v>1538860.3600000003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6339</f>
        <v>6339</v>
      </c>
      <c r="G200" s="18">
        <f>1165.64</f>
        <v>1165.6400000000001</v>
      </c>
      <c r="H200" s="18">
        <f>762.33</f>
        <v>762.33</v>
      </c>
      <c r="I200" s="18">
        <f>693.84+282.81</f>
        <v>976.65000000000009</v>
      </c>
      <c r="J200" s="18">
        <v>0</v>
      </c>
      <c r="K200" s="18">
        <f>900</f>
        <v>900</v>
      </c>
      <c r="L200" s="19">
        <f>SUM(F200:K200)</f>
        <v>10143.620000000001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62836+38856+14059.26+23895.6+175127.82+124209.64+113740.25</f>
        <v>552724.57000000007</v>
      </c>
      <c r="G202" s="18">
        <f>8615.72+27873.09+22984.92+15614.33+113392.73+57879.53</f>
        <v>246360.31999999998</v>
      </c>
      <c r="H202" s="18">
        <f>8333.33+685.26+1416.96+7355.29+54758.36+228.6</f>
        <v>72777.8</v>
      </c>
      <c r="I202" s="18">
        <f>96.14+1398.93+117.36+2749.33+848.93</f>
        <v>5210.6900000000005</v>
      </c>
      <c r="J202" s="18">
        <f>50.16</f>
        <v>50.16</v>
      </c>
      <c r="K202" s="18">
        <v>0</v>
      </c>
      <c r="L202" s="19">
        <f t="shared" ref="L202:L208" si="0">SUM(F202:K202)</f>
        <v>877123.54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416.67+71189+26450.83</f>
        <v>98056.5</v>
      </c>
      <c r="G203" s="18">
        <f>91.99+34935.22+15198.12</f>
        <v>50225.33</v>
      </c>
      <c r="H203" s="18">
        <f>162+6000+9974.8+7317.94+745+883.93+5966.66+14766.26</f>
        <v>45816.59</v>
      </c>
      <c r="I203" s="18">
        <f>714.6+410.36+9172.66+1442.25+260.46+79.25</f>
        <v>12079.579999999998</v>
      </c>
      <c r="J203" s="18">
        <f>831.35+86263.89</f>
        <v>87095.24</v>
      </c>
      <c r="K203" s="18">
        <v>0</v>
      </c>
      <c r="L203" s="19">
        <f t="shared" si="0"/>
        <v>293273.24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5625.47+66.67+333.33+44922.03</f>
        <v>50947.5</v>
      </c>
      <c r="G204" s="18">
        <f>360.51+25.5+22671.07</f>
        <v>23057.079999999998</v>
      </c>
      <c r="H204" s="18">
        <f>10482.02+5668.65+5197.5+6319.14</f>
        <v>27667.309999999998</v>
      </c>
      <c r="I204" s="18">
        <f>1862.64+1932.79</f>
        <v>3795.4300000000003</v>
      </c>
      <c r="J204" s="18">
        <f>36.12</f>
        <v>36.119999999999997</v>
      </c>
      <c r="K204" s="18">
        <f>3905+1177+200+1605.1+1824.83+651.33</f>
        <v>9363.26</v>
      </c>
      <c r="L204" s="19">
        <f t="shared" si="0"/>
        <v>114866.7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98176.04+72431.34+80072.8</f>
        <v>250680.18</v>
      </c>
      <c r="G205" s="18">
        <v>105337.3</v>
      </c>
      <c r="H205" s="18">
        <f>1661.77+2754.03+1577.06+179+772.11</f>
        <v>6943.97</v>
      </c>
      <c r="I205" s="18">
        <f>304.84</f>
        <v>304.83999999999997</v>
      </c>
      <c r="J205" s="18">
        <v>0</v>
      </c>
      <c r="K205" s="18">
        <f>1744.94</f>
        <v>1744.94</v>
      </c>
      <c r="L205" s="19">
        <f t="shared" si="0"/>
        <v>365011.23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f>45627.98</f>
        <v>45627.98</v>
      </c>
      <c r="G206" s="18">
        <v>19807.27</v>
      </c>
      <c r="H206" s="18">
        <v>5271.31</v>
      </c>
      <c r="I206" s="18">
        <v>0</v>
      </c>
      <c r="J206" s="18">
        <v>758.33</v>
      </c>
      <c r="K206" s="18">
        <v>443.33</v>
      </c>
      <c r="L206" s="19">
        <f t="shared" si="0"/>
        <v>71908.22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102774.82+20456.04</f>
        <v>123230.86000000002</v>
      </c>
      <c r="G207" s="18">
        <f>70708.42+14019.08</f>
        <v>84727.5</v>
      </c>
      <c r="H207" s="18">
        <f>54.24+8843.18+5762.92+10902.17+11446.44+1264.31+192+18517.66+12340.01+13530.91+8358.66+331.04+13397.27+1100</f>
        <v>106040.81</v>
      </c>
      <c r="I207" s="18">
        <f>13155.08+28954.17+66935.98+4112.07+1000+596.31+389.36</f>
        <v>115142.96999999999</v>
      </c>
      <c r="J207" s="18">
        <f>2534.32+3186.5+60000</f>
        <v>65720.820000000007</v>
      </c>
      <c r="K207" s="18">
        <v>0</v>
      </c>
      <c r="L207" s="19">
        <f t="shared" si="0"/>
        <v>494862.96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106390.16+28353.42+520.28+25163.14</f>
        <v>160427</v>
      </c>
      <c r="G208" s="18">
        <f>27685.94+3356.22+39.33+16076.97</f>
        <v>47158.46</v>
      </c>
      <c r="H208" s="18">
        <f>437.14+57001.65+29426.46</f>
        <v>86865.25</v>
      </c>
      <c r="I208" s="18">
        <f>1560.04+64208.55</f>
        <v>65768.59</v>
      </c>
      <c r="J208" s="18">
        <f>40359.12</f>
        <v>40359.120000000003</v>
      </c>
      <c r="K208" s="18">
        <f>1948.06</f>
        <v>1948.06</v>
      </c>
      <c r="L208" s="19">
        <f t="shared" si="0"/>
        <v>402526.47999999992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3882398.5500000003</v>
      </c>
      <c r="G211" s="41">
        <f t="shared" si="1"/>
        <v>1848711.37</v>
      </c>
      <c r="H211" s="41">
        <f t="shared" si="1"/>
        <v>570224.18999999994</v>
      </c>
      <c r="I211" s="41">
        <f t="shared" si="1"/>
        <v>270534.36</v>
      </c>
      <c r="J211" s="41">
        <f t="shared" si="1"/>
        <v>199745.15000000002</v>
      </c>
      <c r="K211" s="41">
        <f t="shared" si="1"/>
        <v>14858.86</v>
      </c>
      <c r="L211" s="41">
        <f t="shared" si="1"/>
        <v>6786472.4799999995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2060888.85+24165.28+35926.13</f>
        <v>2120980.2600000002</v>
      </c>
      <c r="G215" s="18">
        <f>27924.45+1035319.9</f>
        <v>1063244.3500000001</v>
      </c>
      <c r="H215" s="18">
        <f>45.33+14070.6+4597.03</f>
        <v>18712.96</v>
      </c>
      <c r="I215" s="18">
        <f>3022.25+406.15+1874.1+95.61+391.09+926.74+3415.81+4894+291.7+887.04+3175.82+545+5997.67+85.68+858.61+16178.06+958.24+2167.49+8777.78</f>
        <v>54948.84</v>
      </c>
      <c r="J215" s="18">
        <f>1151.76+1063+1608.8</f>
        <v>3823.5600000000004</v>
      </c>
      <c r="K215" s="18">
        <f>913</f>
        <v>913</v>
      </c>
      <c r="L215" s="19">
        <f>SUM(F215:K215)</f>
        <v>3262622.97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342261.93+375270.91+8478.85+52716.15+66439</f>
        <v>845166.84</v>
      </c>
      <c r="G216" s="18">
        <f>590.67+367658.01+22022.88</f>
        <v>390271.56</v>
      </c>
      <c r="H216" s="18">
        <f>1617.42+197927.45+171373.11+773.94</f>
        <v>371691.92</v>
      </c>
      <c r="I216" s="18">
        <f>1715.85+942.37+360.14</f>
        <v>3018.3599999999997</v>
      </c>
      <c r="J216" s="18">
        <f>1516.78+1831.96+254.49</f>
        <v>3603.2299999999996</v>
      </c>
      <c r="K216" s="18">
        <f>585.86</f>
        <v>585.86</v>
      </c>
      <c r="L216" s="19">
        <f>SUM(F216:K216)</f>
        <v>1614337.77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30167+24302.5</f>
        <v>54469.5</v>
      </c>
      <c r="G218" s="18">
        <f>5547.24+6219.25</f>
        <v>11766.49</v>
      </c>
      <c r="H218" s="18">
        <f>762.33+4882.5</f>
        <v>5644.83</v>
      </c>
      <c r="I218" s="18">
        <f>4050.97+1331</f>
        <v>5381.9699999999993</v>
      </c>
      <c r="J218" s="18">
        <f>3424.5</f>
        <v>3424.5</v>
      </c>
      <c r="K218" s="18">
        <f>2192.5</f>
        <v>2192.5</v>
      </c>
      <c r="L218" s="19">
        <f>SUM(F218:K218)</f>
        <v>82879.790000000008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107889.72+60110.22+6891.01+30482.06+34391.4+16708.4+56870.12</f>
        <v>313342.93</v>
      </c>
      <c r="G220" s="18">
        <f>8615.72+47858.23+29103.48+19918.19+19357.24+28939.76</f>
        <v>153792.62000000002</v>
      </c>
      <c r="H220" s="18">
        <f>8333.33+874.14+232.4+1206.35+27379.18+114.3</f>
        <v>38139.700000000004</v>
      </c>
      <c r="I220" s="18">
        <f>288.86+960.69+149.71+450.92+424.46</f>
        <v>2274.6400000000003</v>
      </c>
      <c r="J220" s="18">
        <f>25.08</f>
        <v>25.08</v>
      </c>
      <c r="K220" s="18">
        <v>0</v>
      </c>
      <c r="L220" s="19">
        <f t="shared" ref="L220:L226" si="2">SUM(F220:K220)</f>
        <v>507574.97000000009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416.67+66089+27552.95</f>
        <v>94058.62</v>
      </c>
      <c r="G221" s="18">
        <f>91.99+32432.45+15831.37</f>
        <v>48355.810000000005</v>
      </c>
      <c r="H221" s="18">
        <f>500+6074.73+8769.1+939.11+1127.57+7611.27+18836.35</f>
        <v>43858.130000000005</v>
      </c>
      <c r="I221" s="18">
        <f>216.51+233.41+6360.11+2119.85</f>
        <v>8929.8799999999992</v>
      </c>
      <c r="J221" s="18">
        <f>110041.2</f>
        <v>110041.2</v>
      </c>
      <c r="K221" s="18">
        <v>0</v>
      </c>
      <c r="L221" s="19">
        <f t="shared" si="2"/>
        <v>305243.64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5625.47+66.67+333.33+57304.09</f>
        <v>63329.56</v>
      </c>
      <c r="G222" s="18">
        <f>360.51+25.5+28932.76</f>
        <v>29318.769999999997</v>
      </c>
      <c r="H222" s="18">
        <f>10482.02+5668.65+5197.5+8060.92</f>
        <v>29409.089999999997</v>
      </c>
      <c r="I222" s="18">
        <f>1862.64+2465.53</f>
        <v>4328.17</v>
      </c>
      <c r="J222" s="18">
        <f>46.08</f>
        <v>46.08</v>
      </c>
      <c r="K222" s="18">
        <f>1177+480+35718+4147+1605.19+1824.83+830.85</f>
        <v>45782.87</v>
      </c>
      <c r="L222" s="19">
        <f t="shared" si="2"/>
        <v>172214.53999999998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98176.04+77764.72+80073</f>
        <v>256013.76</v>
      </c>
      <c r="G223" s="18">
        <v>107578.5</v>
      </c>
      <c r="H223" s="18">
        <f>1107.32+2301.56+2596.09+309.25+534.96</f>
        <v>6849.18</v>
      </c>
      <c r="I223" s="18">
        <f>1494.17</f>
        <v>1494.17</v>
      </c>
      <c r="J223" s="18">
        <v>0</v>
      </c>
      <c r="K223" s="18">
        <f>1000</f>
        <v>1000</v>
      </c>
      <c r="L223" s="19">
        <f t="shared" si="2"/>
        <v>372935.61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f>45627.98</f>
        <v>45627.98</v>
      </c>
      <c r="G224" s="18">
        <v>19807.27</v>
      </c>
      <c r="H224" s="18">
        <v>5271.31</v>
      </c>
      <c r="I224" s="18">
        <v>0</v>
      </c>
      <c r="J224" s="18">
        <v>758.33</v>
      </c>
      <c r="K224" s="18">
        <v>443.33</v>
      </c>
      <c r="L224" s="19">
        <f t="shared" si="2"/>
        <v>71908.22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114114.58+33530.13</f>
        <v>147644.71</v>
      </c>
      <c r="G225" s="18">
        <f>78510.1+22979.11</f>
        <v>101489.21</v>
      </c>
      <c r="H225" s="18">
        <f>54.24+8843.17+5811.32+30413.89+7161.56+2282.38+265+4886.46+34207.6+18461.3+10233.66+993.13+23963.59+1031+122.93</f>
        <v>148731.23000000001</v>
      </c>
      <c r="I225" s="18">
        <f>13309.63+28687.06+91326.05+2504.75+1788.94+1168.07</f>
        <v>138784.5</v>
      </c>
      <c r="J225" s="18">
        <f>767.84+3184.5</f>
        <v>3952.34</v>
      </c>
      <c r="K225" s="18">
        <v>0</v>
      </c>
      <c r="L225" s="19">
        <f t="shared" si="2"/>
        <v>540601.99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106390.16+28353.42+3381.8+6247.41+25163.14</f>
        <v>169535.93</v>
      </c>
      <c r="G226" s="18">
        <f>27685.94+3356.22+255.67+507.38+16076.97</f>
        <v>47882.18</v>
      </c>
      <c r="H226" s="18">
        <f>437.14+57001.65+29426.46</f>
        <v>86865.25</v>
      </c>
      <c r="I226" s="18">
        <f>1560.04+64208.55</f>
        <v>65768.59</v>
      </c>
      <c r="J226" s="18">
        <v>40359.120000000003</v>
      </c>
      <c r="K226" s="18">
        <f>1948.06</f>
        <v>1948.06</v>
      </c>
      <c r="L226" s="19">
        <f t="shared" si="2"/>
        <v>412359.12999999995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4110170.0900000008</v>
      </c>
      <c r="G229" s="41">
        <f>SUM(G215:G228)</f>
        <v>1973506.7600000002</v>
      </c>
      <c r="H229" s="41">
        <f>SUM(H215:H228)</f>
        <v>755173.6</v>
      </c>
      <c r="I229" s="41">
        <f>SUM(I215:I228)</f>
        <v>284929.12</v>
      </c>
      <c r="J229" s="41">
        <f>SUM(J215:J228)</f>
        <v>166033.44</v>
      </c>
      <c r="K229" s="41">
        <f t="shared" si="3"/>
        <v>52865.62</v>
      </c>
      <c r="L229" s="41">
        <f t="shared" si="3"/>
        <v>7342678.6299999999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2721624.82+35864.71+0.52</f>
        <v>2757490.05</v>
      </c>
      <c r="G233" s="18">
        <f>27924.45+1346020.91</f>
        <v>1373945.3599999999</v>
      </c>
      <c r="H233" s="18">
        <f>150+45.33+17848.37+613.04</f>
        <v>18656.740000000002</v>
      </c>
      <c r="I233" s="18">
        <f>13818.84+238.5+9039.76+5314.37+8484.57+1005.55+6913.58+12356.67+14503.86+29054.76+1699.67+9326.99+2597.12+774.72</f>
        <v>115128.95999999999</v>
      </c>
      <c r="J233" s="18">
        <f>1151.69+711.98</f>
        <v>1863.67</v>
      </c>
      <c r="K233" s="18">
        <f>4253</f>
        <v>4253</v>
      </c>
      <c r="L233" s="19">
        <f>SUM(F233:K233)</f>
        <v>4271337.78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379360.45+364087.93+35075.92+8600.04+52626.02</f>
        <v>839750.3600000001</v>
      </c>
      <c r="G234" s="18">
        <f>590.67+396468.35</f>
        <v>397059.01999999996</v>
      </c>
      <c r="H234" s="18">
        <f>300+1614.65+197589.03+242212.39+772.62</f>
        <v>442488.69</v>
      </c>
      <c r="I234" s="18">
        <f>3499.49+274.89+2672.8</f>
        <v>6447.18</v>
      </c>
      <c r="J234" s="18">
        <f>1514.18+4860.47</f>
        <v>6374.6500000000005</v>
      </c>
      <c r="K234" s="18">
        <f>584.86</f>
        <v>584.86</v>
      </c>
      <c r="L234" s="19">
        <f>SUM(F234:K234)</f>
        <v>1692704.76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50161.27</v>
      </c>
      <c r="I235" s="18">
        <v>0</v>
      </c>
      <c r="J235" s="18">
        <v>0</v>
      </c>
      <c r="K235" s="18">
        <v>0</v>
      </c>
      <c r="L235" s="19">
        <f>SUM(F235:K235)</f>
        <v>50161.27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50643+62243.57+157482.5+8400</f>
        <v>278769.07</v>
      </c>
      <c r="G236" s="18">
        <f>9312.45+0.2+56230.04+1835.17</f>
        <v>67377.86</v>
      </c>
      <c r="H236" s="18">
        <f>762.34+41673.78+3909.26+28859.63</f>
        <v>75205.009999999995</v>
      </c>
      <c r="I236" s="18">
        <f>8735.12+18382.43</f>
        <v>27117.550000000003</v>
      </c>
      <c r="J236" s="18">
        <f>13861.9</f>
        <v>13861.9</v>
      </c>
      <c r="K236" s="18">
        <f>1243.92+5948.13</f>
        <v>7192.05</v>
      </c>
      <c r="L236" s="19">
        <f>SUM(F236:K236)</f>
        <v>469523.44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-0.49+241252.89+38342.43+60345+30429.94+34391.4+16708.4+2.99</f>
        <v>421472.56000000006</v>
      </c>
      <c r="G238" s="18">
        <f>8615.72+124024.21+26212.19+19884.13+19357.24</f>
        <v>198093.49</v>
      </c>
      <c r="H238" s="18">
        <f>8333.33+240+1431.63+640.61+1000+44+872.64+232.4+1203.35</f>
        <v>13997.96</v>
      </c>
      <c r="I238" s="18">
        <f>3856.37+270+1000+795.52+314.98+2442+1884.34+113.95+149.46+450.92</f>
        <v>11277.539999999999</v>
      </c>
      <c r="J238" s="18">
        <v>0</v>
      </c>
      <c r="K238" s="18">
        <f>115+135</f>
        <v>250</v>
      </c>
      <c r="L238" s="19">
        <f t="shared" ref="L238:L244" si="4">SUM(F238:K238)</f>
        <v>645091.55000000005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416.66+68310+12976.6+54003.78</f>
        <v>135707.04</v>
      </c>
      <c r="G239" s="18">
        <f>91.99+39890.52+31029.49</f>
        <v>71012</v>
      </c>
      <c r="H239" s="18">
        <f>2882.33+3890.38+12193.5+745+1125.64+7598.26+18804.14+2204.23</f>
        <v>49443.48</v>
      </c>
      <c r="I239" s="18">
        <f>3913.65+6255.95+27766.59</f>
        <v>37936.19</v>
      </c>
      <c r="J239" s="18">
        <f>310.73+756.13+109853.05</f>
        <v>110919.91</v>
      </c>
      <c r="K239" s="18">
        <f>300</f>
        <v>300</v>
      </c>
      <c r="L239" s="19">
        <f t="shared" si="4"/>
        <v>405318.62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5625.47+66.67+333.33+57206.11</f>
        <v>63231.58</v>
      </c>
      <c r="G240" s="18">
        <f>360.51+25.5+28883.29</f>
        <v>29269.3</v>
      </c>
      <c r="H240" s="18">
        <f>10482.02+5668.65+5197.5+8014.14</f>
        <v>29362.309999999998</v>
      </c>
      <c r="I240" s="18">
        <f>1862.64+2461.32</f>
        <v>4323.96</v>
      </c>
      <c r="J240" s="18">
        <f>46</f>
        <v>46</v>
      </c>
      <c r="K240" s="18">
        <f>3259.9+1177+155+11860.8+2370+300+1605.2+1824.83+60.08+829.43+43.01</f>
        <v>23485.249999999996</v>
      </c>
      <c r="L240" s="19">
        <f t="shared" si="4"/>
        <v>149718.39999999999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99520.35+95187.15+81180</f>
        <v>275887.5</v>
      </c>
      <c r="G241" s="18">
        <f>21348+115929.57</f>
        <v>137277.57</v>
      </c>
      <c r="H241" s="18">
        <f>940.46+12424.42+5761.03+13314.78+1182.88</f>
        <v>33623.57</v>
      </c>
      <c r="I241" s="18">
        <f>3732.01</f>
        <v>3732.01</v>
      </c>
      <c r="J241" s="18">
        <f>475.89</f>
        <v>475.89</v>
      </c>
      <c r="K241" s="18">
        <f>1636+7587.96</f>
        <v>9223.9599999999991</v>
      </c>
      <c r="L241" s="19">
        <f t="shared" si="4"/>
        <v>460220.50000000006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f>45627.98</f>
        <v>45627.98</v>
      </c>
      <c r="G242" s="18">
        <v>19807.27</v>
      </c>
      <c r="H242" s="18">
        <v>5271.31</v>
      </c>
      <c r="I242" s="18">
        <v>0</v>
      </c>
      <c r="J242" s="18">
        <v>758.33</v>
      </c>
      <c r="K242" s="18">
        <v>443.33</v>
      </c>
      <c r="L242" s="19">
        <f t="shared" si="4"/>
        <v>71908.22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186320.14+428.26+93079.28</f>
        <v>279827.68000000005</v>
      </c>
      <c r="G243" s="18">
        <f>128481.7+63789.75</f>
        <v>192271.45</v>
      </c>
      <c r="H243" s="18">
        <f>54.25+10619.15+9086.02+848.94+3196.39+34729.43+2080.35+265.9+24165.66+55929.19+30289.79+34887.56+5296.68+41274.52+4741.96+785.51</f>
        <v>258251.3</v>
      </c>
      <c r="I243" s="18">
        <f>25642.73+66192.88+148840.35+1281.1+9541.03+6229.72+0.01</f>
        <v>257727.82000000004</v>
      </c>
      <c r="J243" s="18">
        <f>2842.5</f>
        <v>2842.5</v>
      </c>
      <c r="K243" s="18">
        <v>0</v>
      </c>
      <c r="L243" s="19">
        <f t="shared" si="4"/>
        <v>990920.75000000012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10958.86+32735.43+28353.42+7023.75+18048.07+7742.5</f>
        <v>104862.03</v>
      </c>
      <c r="G244" s="18">
        <f>731.22+8518.75+3356.22-0.01+531.01+1465.77+4946.74</f>
        <v>19549.699999999997</v>
      </c>
      <c r="H244" s="18">
        <f>134.5+0.02+57001.65+1040+400+9054.3</f>
        <v>67630.47</v>
      </c>
      <c r="I244" s="18">
        <f>480.01+19756.48</f>
        <v>20236.489999999998</v>
      </c>
      <c r="J244" s="18">
        <v>12418.19</v>
      </c>
      <c r="K244" s="18">
        <f>599.4</f>
        <v>599.4</v>
      </c>
      <c r="L244" s="19">
        <f t="shared" si="4"/>
        <v>225296.28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5202625.8500000006</v>
      </c>
      <c r="G247" s="41">
        <f t="shared" si="5"/>
        <v>2505663.02</v>
      </c>
      <c r="H247" s="41">
        <f t="shared" si="5"/>
        <v>1044092.1099999999</v>
      </c>
      <c r="I247" s="41">
        <f t="shared" si="5"/>
        <v>483927.70000000007</v>
      </c>
      <c r="J247" s="41">
        <f t="shared" si="5"/>
        <v>149561.04</v>
      </c>
      <c r="K247" s="41">
        <f t="shared" si="5"/>
        <v>46331.85</v>
      </c>
      <c r="L247" s="41">
        <f t="shared" si="5"/>
        <v>9432201.5700000003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13195194.490000002</v>
      </c>
      <c r="G257" s="41">
        <f t="shared" si="8"/>
        <v>6327881.1500000004</v>
      </c>
      <c r="H257" s="41">
        <f t="shared" si="8"/>
        <v>2369489.9</v>
      </c>
      <c r="I257" s="41">
        <f t="shared" si="8"/>
        <v>1039391.18</v>
      </c>
      <c r="J257" s="41">
        <f t="shared" si="8"/>
        <v>515339.63</v>
      </c>
      <c r="K257" s="41">
        <f t="shared" si="8"/>
        <v>114056.33000000002</v>
      </c>
      <c r="L257" s="41">
        <f t="shared" si="8"/>
        <v>23561352.68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1005000</v>
      </c>
      <c r="L260" s="19">
        <f>SUM(F260:K260)</f>
        <v>1005000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280706.25</v>
      </c>
      <c r="L261" s="19">
        <f>SUM(F261:K261)</f>
        <v>280706.25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0</v>
      </c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>
        <v>0</v>
      </c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1285706.25</v>
      </c>
      <c r="L270" s="41">
        <f t="shared" si="9"/>
        <v>1285706.25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13195194.490000002</v>
      </c>
      <c r="G271" s="42">
        <f t="shared" si="11"/>
        <v>6327881.1500000004</v>
      </c>
      <c r="H271" s="42">
        <f t="shared" si="11"/>
        <v>2369489.9</v>
      </c>
      <c r="I271" s="42">
        <f t="shared" si="11"/>
        <v>1039391.18</v>
      </c>
      <c r="J271" s="42">
        <f t="shared" si="11"/>
        <v>515339.63</v>
      </c>
      <c r="K271" s="42">
        <f t="shared" si="11"/>
        <v>1399762.58</v>
      </c>
      <c r="L271" s="42">
        <f t="shared" si="11"/>
        <v>24847058.93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9841.09+200</f>
        <v>10041.09</v>
      </c>
      <c r="G276" s="18">
        <v>752.84</v>
      </c>
      <c r="H276" s="18">
        <v>154.13</v>
      </c>
      <c r="I276" s="18">
        <v>0</v>
      </c>
      <c r="J276" s="18">
        <v>0</v>
      </c>
      <c r="K276" s="18">
        <v>349.6</v>
      </c>
      <c r="L276" s="19">
        <f>SUM(F276:K276)</f>
        <v>11297.66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100+1000+8240+30976.96+4233.04+56798+22163.33</f>
        <v>123511.33</v>
      </c>
      <c r="G277" s="18">
        <f>84.15+155.76+9395.85</f>
        <v>9635.76</v>
      </c>
      <c r="H277" s="18">
        <f>2000</f>
        <v>2000</v>
      </c>
      <c r="I277" s="18">
        <f>1620.19+3833.14</f>
        <v>5453.33</v>
      </c>
      <c r="J277" s="18">
        <v>0</v>
      </c>
      <c r="K277" s="18">
        <v>1527.49</v>
      </c>
      <c r="L277" s="19">
        <f>SUM(F277:K277)</f>
        <v>142127.90999999997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133552.42000000001</v>
      </c>
      <c r="G290" s="42">
        <f t="shared" si="13"/>
        <v>10388.6</v>
      </c>
      <c r="H290" s="42">
        <f t="shared" si="13"/>
        <v>2154.13</v>
      </c>
      <c r="I290" s="42">
        <f t="shared" si="13"/>
        <v>5453.33</v>
      </c>
      <c r="J290" s="42">
        <f t="shared" si="13"/>
        <v>0</v>
      </c>
      <c r="K290" s="42">
        <f t="shared" si="13"/>
        <v>1877.0900000000001</v>
      </c>
      <c r="L290" s="41">
        <f t="shared" si="13"/>
        <v>153425.56999999998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9841.09+200</f>
        <v>10041.09</v>
      </c>
      <c r="G295" s="18">
        <v>752.84</v>
      </c>
      <c r="H295" s="18">
        <v>154.13</v>
      </c>
      <c r="I295" s="18">
        <v>0</v>
      </c>
      <c r="J295" s="18">
        <v>0</v>
      </c>
      <c r="K295" s="18">
        <v>0</v>
      </c>
      <c r="L295" s="19">
        <f>SUM(F295:K295)</f>
        <v>10948.06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22163.33</f>
        <v>22163.33</v>
      </c>
      <c r="G296" s="18">
        <v>1686.03</v>
      </c>
      <c r="H296" s="18">
        <f>2000</f>
        <v>2000</v>
      </c>
      <c r="I296" s="18">
        <f>3833.14</f>
        <v>3833.14</v>
      </c>
      <c r="J296" s="18">
        <v>0</v>
      </c>
      <c r="K296" s="18">
        <v>322.47000000000003</v>
      </c>
      <c r="L296" s="19">
        <f>SUM(F296:K296)</f>
        <v>30004.97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32204.420000000002</v>
      </c>
      <c r="G309" s="42">
        <f t="shared" si="15"/>
        <v>2438.87</v>
      </c>
      <c r="H309" s="42">
        <f t="shared" si="15"/>
        <v>2154.13</v>
      </c>
      <c r="I309" s="42">
        <f t="shared" si="15"/>
        <v>3833.14</v>
      </c>
      <c r="J309" s="42">
        <f t="shared" si="15"/>
        <v>0</v>
      </c>
      <c r="K309" s="42">
        <f t="shared" si="15"/>
        <v>322.47000000000003</v>
      </c>
      <c r="L309" s="41">
        <f t="shared" si="15"/>
        <v>40953.03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9841.09+200</f>
        <v>10041.09</v>
      </c>
      <c r="G314" s="18">
        <v>752.85</v>
      </c>
      <c r="H314" s="18">
        <v>154.13</v>
      </c>
      <c r="I314" s="18">
        <v>0</v>
      </c>
      <c r="J314" s="18">
        <v>0</v>
      </c>
      <c r="K314" s="18">
        <v>0</v>
      </c>
      <c r="L314" s="19">
        <f>SUM(F314:K314)</f>
        <v>10948.07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34000+22163.34</f>
        <v>56163.34</v>
      </c>
      <c r="G315" s="18">
        <v>4272.5</v>
      </c>
      <c r="H315" s="18">
        <f>2000</f>
        <v>2000</v>
      </c>
      <c r="I315" s="18">
        <f>3833.13</f>
        <v>3833.13</v>
      </c>
      <c r="J315" s="18">
        <v>0</v>
      </c>
      <c r="K315" s="18">
        <v>719.95</v>
      </c>
      <c r="L315" s="19">
        <f>SUM(F315:K315)</f>
        <v>66988.92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66204.429999999993</v>
      </c>
      <c r="G328" s="42">
        <f t="shared" si="17"/>
        <v>5025.3500000000004</v>
      </c>
      <c r="H328" s="42">
        <f t="shared" si="17"/>
        <v>2154.13</v>
      </c>
      <c r="I328" s="42">
        <f t="shared" si="17"/>
        <v>3833.13</v>
      </c>
      <c r="J328" s="42">
        <f t="shared" si="17"/>
        <v>0</v>
      </c>
      <c r="K328" s="42">
        <f t="shared" si="17"/>
        <v>719.95</v>
      </c>
      <c r="L328" s="41">
        <f t="shared" si="17"/>
        <v>77936.989999999991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231961.27000000002</v>
      </c>
      <c r="G338" s="41">
        <f t="shared" si="20"/>
        <v>17852.82</v>
      </c>
      <c r="H338" s="41">
        <f t="shared" si="20"/>
        <v>6462.39</v>
      </c>
      <c r="I338" s="41">
        <f t="shared" si="20"/>
        <v>13119.599999999999</v>
      </c>
      <c r="J338" s="41">
        <f t="shared" si="20"/>
        <v>0</v>
      </c>
      <c r="K338" s="41">
        <f t="shared" si="20"/>
        <v>2919.51</v>
      </c>
      <c r="L338" s="41">
        <f t="shared" si="20"/>
        <v>272315.58999999997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>
        <v>0</v>
      </c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231961.27000000002</v>
      </c>
      <c r="G352" s="41">
        <f>G338</f>
        <v>17852.82</v>
      </c>
      <c r="H352" s="41">
        <f>H338</f>
        <v>6462.39</v>
      </c>
      <c r="I352" s="41">
        <f>I338</f>
        <v>13119.599999999999</v>
      </c>
      <c r="J352" s="41">
        <f>J338</f>
        <v>0</v>
      </c>
      <c r="K352" s="47">
        <f>K338+K351</f>
        <v>2919.51</v>
      </c>
      <c r="L352" s="41">
        <f>L338+L351</f>
        <v>272315.58999999997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49882.69</v>
      </c>
      <c r="G358" s="18">
        <v>29530.76</v>
      </c>
      <c r="H358" s="18">
        <v>2563.9299999999998</v>
      </c>
      <c r="I358" s="18">
        <v>47270.51</v>
      </c>
      <c r="J358" s="18">
        <v>0</v>
      </c>
      <c r="K358" s="18">
        <v>25.06</v>
      </c>
      <c r="L358" s="13">
        <f>SUM(F358:K358)</f>
        <v>129272.94999999998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72862.990000000005</v>
      </c>
      <c r="G359" s="18">
        <v>43135.19</v>
      </c>
      <c r="H359" s="18">
        <v>3745.09</v>
      </c>
      <c r="I359" s="18">
        <v>69047.42</v>
      </c>
      <c r="J359" s="18">
        <v>0</v>
      </c>
      <c r="K359" s="18">
        <v>36.6</v>
      </c>
      <c r="L359" s="19">
        <f>SUM(F359:K359)</f>
        <v>188827.29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86291.04</v>
      </c>
      <c r="G360" s="18">
        <v>51084.639999999999</v>
      </c>
      <c r="H360" s="18">
        <v>4435.28</v>
      </c>
      <c r="I360" s="18">
        <v>81772.289999999994</v>
      </c>
      <c r="J360" s="18">
        <v>0</v>
      </c>
      <c r="K360" s="18">
        <v>43.34</v>
      </c>
      <c r="L360" s="19">
        <f>SUM(F360:K360)</f>
        <v>223626.59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>
        <v>0</v>
      </c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209036.72</v>
      </c>
      <c r="G362" s="47">
        <f t="shared" si="22"/>
        <v>123750.59</v>
      </c>
      <c r="H362" s="47">
        <f t="shared" si="22"/>
        <v>10744.3</v>
      </c>
      <c r="I362" s="47">
        <f t="shared" si="22"/>
        <v>198090.21999999997</v>
      </c>
      <c r="J362" s="47">
        <f t="shared" si="22"/>
        <v>0</v>
      </c>
      <c r="K362" s="47">
        <f t="shared" si="22"/>
        <v>105</v>
      </c>
      <c r="L362" s="47">
        <f t="shared" si="22"/>
        <v>541726.82999999996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I358-F368</f>
        <v>45096.3</v>
      </c>
      <c r="G367" s="18">
        <f>I359-G368</f>
        <v>65871.58</v>
      </c>
      <c r="H367" s="18">
        <f>I360-H368</f>
        <v>78011.17</v>
      </c>
      <c r="I367" s="56">
        <f>SUM(F367:H367)</f>
        <v>188979.05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2174.21</v>
      </c>
      <c r="G368" s="63">
        <v>3175.84</v>
      </c>
      <c r="H368" s="63">
        <v>3761.12</v>
      </c>
      <c r="I368" s="56">
        <f>SUM(F368:H368)</f>
        <v>9111.17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47270.51</v>
      </c>
      <c r="G369" s="47">
        <f>SUM(G367:G368)</f>
        <v>69047.42</v>
      </c>
      <c r="H369" s="47">
        <f>SUM(H367:H368)</f>
        <v>81772.289999999994</v>
      </c>
      <c r="I369" s="47">
        <f>SUM(I367:I368)</f>
        <v>198090.22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0</v>
      </c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>
        <v>0</v>
      </c>
      <c r="G388" s="18">
        <v>0</v>
      </c>
      <c r="H388" s="18">
        <f>8509.13-1128.89+22.64-3+11372.52-1508.76+2214.37-293.78</f>
        <v>19184.230000000003</v>
      </c>
      <c r="I388" s="18">
        <v>0</v>
      </c>
      <c r="J388" s="24" t="s">
        <v>289</v>
      </c>
      <c r="K388" s="24" t="s">
        <v>289</v>
      </c>
      <c r="L388" s="56">
        <f t="shared" si="25"/>
        <v>19184.230000000003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19184.230000000003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19184.230000000003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>
        <v>0</v>
      </c>
      <c r="G397" s="18">
        <v>0</v>
      </c>
      <c r="H397" s="18">
        <f>8818.89-1169.98</f>
        <v>7648.91</v>
      </c>
      <c r="I397" s="18">
        <v>0</v>
      </c>
      <c r="J397" s="24" t="s">
        <v>289</v>
      </c>
      <c r="K397" s="24" t="s">
        <v>289</v>
      </c>
      <c r="L397" s="56">
        <f t="shared" si="26"/>
        <v>7648.91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>
        <v>0</v>
      </c>
      <c r="G400" s="18">
        <v>0</v>
      </c>
      <c r="H400" s="18">
        <v>0</v>
      </c>
      <c r="I400" s="18">
        <v>0</v>
      </c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7648.91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7648.91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26833.140000000003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26833.140000000003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60000</v>
      </c>
      <c r="L414" s="56">
        <f t="shared" si="27"/>
        <v>60000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60000</v>
      </c>
      <c r="L419" s="47">
        <f t="shared" si="28"/>
        <v>60000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60000</v>
      </c>
      <c r="L434" s="47">
        <f t="shared" si="32"/>
        <v>60000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0</v>
      </c>
      <c r="G439" s="18">
        <v>0</v>
      </c>
      <c r="H439" s="18">
        <v>0</v>
      </c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f>231740.03+8573.67+505176.2+141038.43</f>
        <v>886528.33000000007</v>
      </c>
      <c r="G440" s="18">
        <v>351199.91</v>
      </c>
      <c r="H440" s="18">
        <v>0</v>
      </c>
      <c r="I440" s="56">
        <f t="shared" si="33"/>
        <v>1237728.24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886528.33000000007</v>
      </c>
      <c r="G446" s="13">
        <f>SUM(G439:G445)</f>
        <v>351199.91</v>
      </c>
      <c r="H446" s="13">
        <f>SUM(H439:H445)</f>
        <v>0</v>
      </c>
      <c r="I446" s="13">
        <f>SUM(I439:I445)</f>
        <v>1237728.24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F440</f>
        <v>886528.33000000007</v>
      </c>
      <c r="G459" s="18">
        <f>G440</f>
        <v>351199.91</v>
      </c>
      <c r="H459" s="18">
        <v>0</v>
      </c>
      <c r="I459" s="56">
        <f t="shared" si="34"/>
        <v>1237728.24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886528.33000000007</v>
      </c>
      <c r="G460" s="83">
        <f>SUM(G454:G459)</f>
        <v>351199.91</v>
      </c>
      <c r="H460" s="83">
        <f>SUM(H454:H459)</f>
        <v>0</v>
      </c>
      <c r="I460" s="83">
        <f>SUM(I454:I459)</f>
        <v>1237728.24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886528.33000000007</v>
      </c>
      <c r="G461" s="42">
        <f>G452+G460</f>
        <v>351199.91</v>
      </c>
      <c r="H461" s="42">
        <f>H452+H460</f>
        <v>0</v>
      </c>
      <c r="I461" s="42">
        <f>I452+I460</f>
        <v>1237728.24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496159</v>
      </c>
      <c r="G465" s="18">
        <v>69389.23</v>
      </c>
      <c r="H465" s="18">
        <v>0</v>
      </c>
      <c r="I465" s="18">
        <v>0</v>
      </c>
      <c r="J465" s="18">
        <f>1237728.24+33166.86</f>
        <v>1270895.1000000001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24838582.979999997</v>
      </c>
      <c r="G468" s="18">
        <f>G193</f>
        <v>513059.08000000007</v>
      </c>
      <c r="H468" s="18">
        <f>H169</f>
        <v>272315.59000000003</v>
      </c>
      <c r="I468" s="18">
        <v>0</v>
      </c>
      <c r="J468" s="18">
        <f>L408</f>
        <v>26833.140000000003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v>0</v>
      </c>
      <c r="H469" s="18">
        <v>0</v>
      </c>
      <c r="I469" s="18">
        <v>0</v>
      </c>
      <c r="J469" s="18">
        <v>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24838582.979999997</v>
      </c>
      <c r="G470" s="53">
        <f>SUM(G468:G469)</f>
        <v>513059.08000000007</v>
      </c>
      <c r="H470" s="53">
        <f>SUM(H468:H469)</f>
        <v>272315.59000000003</v>
      </c>
      <c r="I470" s="53">
        <f>SUM(I468:I469)</f>
        <v>0</v>
      </c>
      <c r="J470" s="53">
        <f>SUM(J468:J469)</f>
        <v>26833.140000000003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24847058.93</v>
      </c>
      <c r="G472" s="18">
        <f>L362</f>
        <v>541726.82999999996</v>
      </c>
      <c r="H472" s="18">
        <f>L352</f>
        <v>272315.58999999997</v>
      </c>
      <c r="I472" s="18">
        <v>0</v>
      </c>
      <c r="J472" s="18">
        <f>L434</f>
        <v>60000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f>487683.05-463375.84</f>
        <v>24307.209999999963</v>
      </c>
      <c r="G473" s="18">
        <v>0</v>
      </c>
      <c r="H473" s="18">
        <v>0</v>
      </c>
      <c r="I473" s="18">
        <v>0</v>
      </c>
      <c r="J473" s="18"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24871366.140000001</v>
      </c>
      <c r="G474" s="53">
        <f>SUM(G472:G473)</f>
        <v>541726.82999999996</v>
      </c>
      <c r="H474" s="53">
        <f>SUM(H472:H473)</f>
        <v>272315.58999999997</v>
      </c>
      <c r="I474" s="53">
        <f>SUM(I472:I473)</f>
        <v>0</v>
      </c>
      <c r="J474" s="53">
        <f>SUM(J472:J473)</f>
        <v>60000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463375.83999999613</v>
      </c>
      <c r="G476" s="53">
        <f>(G465+G470)- G474</f>
        <v>40721.480000000098</v>
      </c>
      <c r="H476" s="53">
        <f>(H465+H470)- H474</f>
        <v>0</v>
      </c>
      <c r="I476" s="53">
        <f>(I465+I470)- I474</f>
        <v>0</v>
      </c>
      <c r="J476" s="53">
        <f>(J465+J470)- J474</f>
        <v>1237728.24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916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914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915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16157528</v>
      </c>
      <c r="G493" s="18">
        <v>4027000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5.7</v>
      </c>
      <c r="G494" s="18">
        <v>4.4000000000000004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3220000</v>
      </c>
      <c r="G495" s="18">
        <v>2800000</v>
      </c>
      <c r="H495" s="18"/>
      <c r="I495" s="18"/>
      <c r="J495" s="18"/>
      <c r="K495" s="53">
        <f>SUM(F495:J495)</f>
        <v>6020000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805000</v>
      </c>
      <c r="G497" s="18">
        <v>200000</v>
      </c>
      <c r="H497" s="18"/>
      <c r="I497" s="18"/>
      <c r="J497" s="18"/>
      <c r="K497" s="53">
        <f t="shared" si="35"/>
        <v>1005000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2415000</v>
      </c>
      <c r="G498" s="204">
        <v>2600000</v>
      </c>
      <c r="H498" s="204"/>
      <c r="I498" s="204"/>
      <c r="J498" s="204"/>
      <c r="K498" s="205">
        <f t="shared" si="35"/>
        <v>5015000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370225.75-92575-69431.25</f>
        <v>208219.5</v>
      </c>
      <c r="G499" s="18">
        <f>1181961-61500-57200</f>
        <v>1063261</v>
      </c>
      <c r="H499" s="18"/>
      <c r="I499" s="18"/>
      <c r="J499" s="18"/>
      <c r="K499" s="53">
        <f t="shared" si="35"/>
        <v>1271480.5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2623219.5</v>
      </c>
      <c r="G500" s="42">
        <f>SUM(G498:G499)</f>
        <v>3663261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6286480.5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805000</v>
      </c>
      <c r="G501" s="204">
        <v>200000</v>
      </c>
      <c r="H501" s="204"/>
      <c r="I501" s="204"/>
      <c r="J501" s="204"/>
      <c r="K501" s="205">
        <f t="shared" si="35"/>
        <v>1005000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69431.25+46287.5</f>
        <v>115718.75</v>
      </c>
      <c r="G502" s="18">
        <f>57200+52900</f>
        <v>110100</v>
      </c>
      <c r="H502" s="18"/>
      <c r="I502" s="18"/>
      <c r="J502" s="18"/>
      <c r="K502" s="53">
        <f t="shared" si="35"/>
        <v>225818.75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920718.75</v>
      </c>
      <c r="G503" s="42">
        <f>SUM(G501:G502)</f>
        <v>310100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1230818.75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F198+F277-F557-F562-F567</f>
        <v>965664.59000000008</v>
      </c>
      <c r="G521" s="18">
        <f t="shared" ref="G521:K521" si="36">G198+G277-G557-G562-G567</f>
        <v>408108.69</v>
      </c>
      <c r="H521" s="18">
        <f t="shared" si="36"/>
        <v>186576.43</v>
      </c>
      <c r="I521" s="18">
        <f t="shared" si="36"/>
        <v>7686.33</v>
      </c>
      <c r="J521" s="18">
        <f t="shared" si="36"/>
        <v>1189.04</v>
      </c>
      <c r="K521" s="18">
        <f t="shared" si="36"/>
        <v>1986.76</v>
      </c>
      <c r="L521" s="88">
        <f>SUM(F521:K521)</f>
        <v>1571211.84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F216+F296-F558-F563-F568</f>
        <v>800891.16999999993</v>
      </c>
      <c r="G522" s="18">
        <f t="shared" ref="G522:K522" si="37">G216+G296-G558-G563-G568</f>
        <v>369934.71</v>
      </c>
      <c r="H522" s="18">
        <f t="shared" si="37"/>
        <v>373691.92</v>
      </c>
      <c r="I522" s="18">
        <f t="shared" si="37"/>
        <v>5548.99</v>
      </c>
      <c r="J522" s="18">
        <f t="shared" si="37"/>
        <v>3348.74</v>
      </c>
      <c r="K522" s="18">
        <f t="shared" si="37"/>
        <v>908.33</v>
      </c>
      <c r="L522" s="88">
        <f>SUM(F522:K522)</f>
        <v>1554323.8599999999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F234+F315-F559-F564-F569</f>
        <v>895913.70000000007</v>
      </c>
      <c r="G523" s="18">
        <f t="shared" ref="G523:K523" si="38">G234+G315-G559-G564-G569</f>
        <v>401331.51999999996</v>
      </c>
      <c r="H523" s="18">
        <f t="shared" si="38"/>
        <v>444488.69</v>
      </c>
      <c r="I523" s="18">
        <f t="shared" si="38"/>
        <v>10280.310000000001</v>
      </c>
      <c r="J523" s="18">
        <f t="shared" si="38"/>
        <v>6374.6500000000005</v>
      </c>
      <c r="K523" s="18">
        <f t="shared" si="38"/>
        <v>1304.81</v>
      </c>
      <c r="L523" s="88">
        <f>SUM(F523:K523)</f>
        <v>1759693.68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2662469.46</v>
      </c>
      <c r="G524" s="108">
        <f t="shared" ref="G524:L524" si="39">SUM(G521:G523)</f>
        <v>1179374.92</v>
      </c>
      <c r="H524" s="108">
        <f t="shared" si="39"/>
        <v>1004757.04</v>
      </c>
      <c r="I524" s="108">
        <f t="shared" si="39"/>
        <v>23515.63</v>
      </c>
      <c r="J524" s="108">
        <f t="shared" si="39"/>
        <v>10912.43</v>
      </c>
      <c r="K524" s="108">
        <f t="shared" si="39"/>
        <v>4199.8999999999996</v>
      </c>
      <c r="L524" s="89">
        <f t="shared" si="39"/>
        <v>4885229.38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23895.6+175127.82+124209.64+113740.25</f>
        <v>436973.31</v>
      </c>
      <c r="G526" s="18">
        <f>15614.33+113392.73+57879.53</f>
        <v>186886.59</v>
      </c>
      <c r="H526" s="18">
        <f>685.26+1416.96+7355.29+54758.36+228.6</f>
        <v>64444.47</v>
      </c>
      <c r="I526" s="18">
        <f>117.36+2749.33+848.93</f>
        <v>3715.62</v>
      </c>
      <c r="J526" s="18">
        <v>50.16</v>
      </c>
      <c r="K526" s="18">
        <v>0</v>
      </c>
      <c r="L526" s="88">
        <f>SUM(F526:K526)</f>
        <v>692070.15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30482.06+34391.4+16708.4+56870.12</f>
        <v>138451.98000000001</v>
      </c>
      <c r="G527" s="18">
        <f>19918.19+19357.24+28939.76</f>
        <v>68215.19</v>
      </c>
      <c r="H527" s="18">
        <f>874.14+232.4+1206.35+27379.18+114.3</f>
        <v>29806.37</v>
      </c>
      <c r="I527" s="18">
        <f>149.71+450.92+424.46</f>
        <v>1025.0899999999999</v>
      </c>
      <c r="J527" s="18">
        <v>25.08</v>
      </c>
      <c r="K527" s="18">
        <v>0</v>
      </c>
      <c r="L527" s="88">
        <f>SUM(F527:K527)</f>
        <v>237523.71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30429.64+34391.4</f>
        <v>64821.04</v>
      </c>
      <c r="G528" s="18">
        <f>19884.13+19357.24</f>
        <v>39241.370000000003</v>
      </c>
      <c r="H528" s="18">
        <f>872.64+232.4+1206.35</f>
        <v>2311.39</v>
      </c>
      <c r="I528" s="18">
        <f>149.46+450.92</f>
        <v>600.38</v>
      </c>
      <c r="J528" s="18">
        <v>0</v>
      </c>
      <c r="K528" s="18">
        <v>0</v>
      </c>
      <c r="L528" s="88">
        <f>SUM(F528:K528)</f>
        <v>106974.18000000001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640246.33000000007</v>
      </c>
      <c r="G529" s="89">
        <f t="shared" ref="G529:L529" si="40">SUM(G526:G528)</f>
        <v>294343.15000000002</v>
      </c>
      <c r="H529" s="89">
        <f t="shared" si="40"/>
        <v>96562.23</v>
      </c>
      <c r="I529" s="89">
        <f t="shared" si="40"/>
        <v>5341.09</v>
      </c>
      <c r="J529" s="89">
        <f t="shared" si="40"/>
        <v>75.239999999999995</v>
      </c>
      <c r="K529" s="89">
        <f t="shared" si="40"/>
        <v>0</v>
      </c>
      <c r="L529" s="89">
        <f t="shared" si="40"/>
        <v>1036568.04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27800.78</v>
      </c>
      <c r="G531" s="18">
        <v>8614.61</v>
      </c>
      <c r="H531" s="18">
        <v>0</v>
      </c>
      <c r="I531" s="18">
        <v>0</v>
      </c>
      <c r="J531" s="18">
        <v>0</v>
      </c>
      <c r="K531" s="18">
        <v>0</v>
      </c>
      <c r="L531" s="88">
        <f>SUM(F531:K531)</f>
        <v>36415.39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27800.78</v>
      </c>
      <c r="G532" s="18">
        <v>8614.61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36415.39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27800.78</v>
      </c>
      <c r="G533" s="18">
        <v>8614.61</v>
      </c>
      <c r="H533" s="18">
        <v>0</v>
      </c>
      <c r="I533" s="18">
        <v>0</v>
      </c>
      <c r="J533" s="18">
        <v>0</v>
      </c>
      <c r="K533" s="18">
        <v>0</v>
      </c>
      <c r="L533" s="88">
        <f>SUM(F533:K533)</f>
        <v>36415.39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83402.34</v>
      </c>
      <c r="G534" s="89">
        <f t="shared" ref="G534:L534" si="41">SUM(G531:G533)</f>
        <v>25843.83</v>
      </c>
      <c r="H534" s="89">
        <f t="shared" si="41"/>
        <v>0</v>
      </c>
      <c r="I534" s="89">
        <f t="shared" si="41"/>
        <v>0</v>
      </c>
      <c r="J534" s="89">
        <f t="shared" si="41"/>
        <v>0</v>
      </c>
      <c r="K534" s="89">
        <f t="shared" si="41"/>
        <v>0</v>
      </c>
      <c r="L534" s="89">
        <f t="shared" si="41"/>
        <v>109246.17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2">SUM(G536:G538)</f>
        <v>0</v>
      </c>
      <c r="H539" s="89">
        <f t="shared" si="42"/>
        <v>0</v>
      </c>
      <c r="I539" s="89">
        <f t="shared" si="42"/>
        <v>0</v>
      </c>
      <c r="J539" s="89">
        <f t="shared" si="42"/>
        <v>0</v>
      </c>
      <c r="K539" s="89">
        <f t="shared" si="42"/>
        <v>0</v>
      </c>
      <c r="L539" s="89">
        <f t="shared" si="42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28353.42</v>
      </c>
      <c r="G541" s="18">
        <v>3356.22</v>
      </c>
      <c r="H541" s="18">
        <f>57001.65-0.01</f>
        <v>57001.64</v>
      </c>
      <c r="I541" s="18">
        <v>0</v>
      </c>
      <c r="J541" s="18">
        <v>0</v>
      </c>
      <c r="K541" s="18">
        <v>0</v>
      </c>
      <c r="L541" s="88">
        <f>SUM(F541:K541)</f>
        <v>88711.28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28353.42</v>
      </c>
      <c r="G542" s="18">
        <v>3356.22</v>
      </c>
      <c r="H542" s="18">
        <v>57001.65</v>
      </c>
      <c r="I542" s="18">
        <v>0</v>
      </c>
      <c r="J542" s="18">
        <v>0</v>
      </c>
      <c r="K542" s="18">
        <v>0</v>
      </c>
      <c r="L542" s="88">
        <f>SUM(F542:K542)</f>
        <v>88711.290000000008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28353.42</v>
      </c>
      <c r="G543" s="18">
        <v>3356.22</v>
      </c>
      <c r="H543" s="18">
        <v>57001.65</v>
      </c>
      <c r="I543" s="18">
        <v>0</v>
      </c>
      <c r="J543" s="18">
        <v>0</v>
      </c>
      <c r="K543" s="18">
        <v>0</v>
      </c>
      <c r="L543" s="88">
        <f>SUM(F543:K543)</f>
        <v>88711.290000000008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85060.26</v>
      </c>
      <c r="G544" s="193">
        <f t="shared" ref="G544:L544" si="43">SUM(G541:G543)</f>
        <v>10068.66</v>
      </c>
      <c r="H544" s="193">
        <f t="shared" si="43"/>
        <v>171004.94</v>
      </c>
      <c r="I544" s="193">
        <f t="shared" si="43"/>
        <v>0</v>
      </c>
      <c r="J544" s="193">
        <f t="shared" si="43"/>
        <v>0</v>
      </c>
      <c r="K544" s="193">
        <f t="shared" si="43"/>
        <v>0</v>
      </c>
      <c r="L544" s="193">
        <f t="shared" si="43"/>
        <v>266133.86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3471178.3899999997</v>
      </c>
      <c r="G545" s="89">
        <f t="shared" ref="G545:L545" si="44">G524+G529+G534+G539+G544</f>
        <v>1509630.5599999998</v>
      </c>
      <c r="H545" s="89">
        <f t="shared" si="44"/>
        <v>1272324.21</v>
      </c>
      <c r="I545" s="89">
        <f t="shared" si="44"/>
        <v>28856.720000000001</v>
      </c>
      <c r="J545" s="89">
        <f t="shared" si="44"/>
        <v>10987.67</v>
      </c>
      <c r="K545" s="89">
        <f t="shared" si="44"/>
        <v>4199.8999999999996</v>
      </c>
      <c r="L545" s="89">
        <f t="shared" si="44"/>
        <v>6297177.4500000002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1571211.84</v>
      </c>
      <c r="G549" s="87">
        <f>L526</f>
        <v>692070.15</v>
      </c>
      <c r="H549" s="87">
        <f>L531</f>
        <v>36415.39</v>
      </c>
      <c r="I549" s="87">
        <f>L536</f>
        <v>0</v>
      </c>
      <c r="J549" s="87">
        <f>L541</f>
        <v>88711.28</v>
      </c>
      <c r="K549" s="87">
        <f>SUM(F549:J549)</f>
        <v>2388408.66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1554323.8599999999</v>
      </c>
      <c r="G550" s="87">
        <f>L527</f>
        <v>237523.71</v>
      </c>
      <c r="H550" s="87">
        <f>L532</f>
        <v>36415.39</v>
      </c>
      <c r="I550" s="87">
        <f>L537</f>
        <v>0</v>
      </c>
      <c r="J550" s="87">
        <f>L542</f>
        <v>88711.290000000008</v>
      </c>
      <c r="K550" s="87">
        <f>SUM(F550:J550)</f>
        <v>1916974.2499999998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1759693.68</v>
      </c>
      <c r="G551" s="87">
        <f>L528</f>
        <v>106974.18000000001</v>
      </c>
      <c r="H551" s="87">
        <f>L533</f>
        <v>36415.39</v>
      </c>
      <c r="I551" s="87">
        <f>L538</f>
        <v>0</v>
      </c>
      <c r="J551" s="87">
        <f>L543</f>
        <v>88711.290000000008</v>
      </c>
      <c r="K551" s="87">
        <f>SUM(F551:J551)</f>
        <v>1991794.5399999998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5">SUM(F549:F551)</f>
        <v>4885229.38</v>
      </c>
      <c r="G552" s="89">
        <f t="shared" si="45"/>
        <v>1036568.04</v>
      </c>
      <c r="H552" s="89">
        <f t="shared" si="45"/>
        <v>109246.17</v>
      </c>
      <c r="I552" s="89">
        <f t="shared" si="45"/>
        <v>0</v>
      </c>
      <c r="J552" s="89">
        <f t="shared" si="45"/>
        <v>266133.86</v>
      </c>
      <c r="K552" s="89">
        <f t="shared" si="45"/>
        <v>6297177.4500000002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f>100+1000</f>
        <v>1100</v>
      </c>
      <c r="G557" s="18">
        <f>84.15+155.76</f>
        <v>239.91</v>
      </c>
      <c r="H557" s="18">
        <f>1620.19</f>
        <v>1620.19</v>
      </c>
      <c r="I557" s="18">
        <v>0</v>
      </c>
      <c r="J557" s="18">
        <v>0</v>
      </c>
      <c r="K557" s="18">
        <v>0</v>
      </c>
      <c r="L557" s="88">
        <f>SUM(F557:K557)</f>
        <v>2960.1000000000004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6">SUM(F557:F559)</f>
        <v>1100</v>
      </c>
      <c r="G560" s="108">
        <f t="shared" si="46"/>
        <v>239.91</v>
      </c>
      <c r="H560" s="108">
        <f t="shared" si="46"/>
        <v>1620.19</v>
      </c>
      <c r="I560" s="108">
        <f t="shared" si="46"/>
        <v>0</v>
      </c>
      <c r="J560" s="108">
        <f t="shared" si="46"/>
        <v>0</v>
      </c>
      <c r="K560" s="108">
        <f t="shared" si="46"/>
        <v>0</v>
      </c>
      <c r="L560" s="89">
        <f t="shared" si="46"/>
        <v>2960.1000000000004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0</v>
      </c>
      <c r="G562" s="18">
        <v>0</v>
      </c>
      <c r="H562" s="18">
        <v>17236.009999999998</v>
      </c>
      <c r="I562" s="18">
        <v>0</v>
      </c>
      <c r="J562" s="18">
        <v>0</v>
      </c>
      <c r="K562" s="18">
        <v>0</v>
      </c>
      <c r="L562" s="88">
        <f>SUM(F562:K562)</f>
        <v>17236.009999999998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7">SUM(F562:F564)</f>
        <v>0</v>
      </c>
      <c r="G565" s="89">
        <f t="shared" si="47"/>
        <v>0</v>
      </c>
      <c r="H565" s="89">
        <f t="shared" si="47"/>
        <v>17236.009999999998</v>
      </c>
      <c r="I565" s="89">
        <f t="shared" si="47"/>
        <v>0</v>
      </c>
      <c r="J565" s="89">
        <f t="shared" si="47"/>
        <v>0</v>
      </c>
      <c r="K565" s="89">
        <f t="shared" si="47"/>
        <v>0</v>
      </c>
      <c r="L565" s="89">
        <f t="shared" si="47"/>
        <v>17236.009999999998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67279</v>
      </c>
      <c r="G567" s="18">
        <v>22301.32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89580.32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66439</v>
      </c>
      <c r="G568" s="18">
        <v>22022.880000000001</v>
      </c>
      <c r="H568" s="18">
        <v>0</v>
      </c>
      <c r="I568" s="18">
        <f>942.37+360.14</f>
        <v>1302.51</v>
      </c>
      <c r="J568" s="18">
        <v>254.49</v>
      </c>
      <c r="K568" s="18">
        <v>0</v>
      </c>
      <c r="L568" s="88">
        <f>SUM(F568:K568)</f>
        <v>90018.880000000005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133718</v>
      </c>
      <c r="G570" s="193">
        <f t="shared" ref="G570:L570" si="48">SUM(G567:G569)</f>
        <v>44324.2</v>
      </c>
      <c r="H570" s="193">
        <f t="shared" si="48"/>
        <v>0</v>
      </c>
      <c r="I570" s="193">
        <f t="shared" si="48"/>
        <v>1302.51</v>
      </c>
      <c r="J570" s="193">
        <f t="shared" si="48"/>
        <v>254.49</v>
      </c>
      <c r="K570" s="193">
        <f t="shared" si="48"/>
        <v>0</v>
      </c>
      <c r="L570" s="193">
        <f t="shared" si="48"/>
        <v>179599.2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134818</v>
      </c>
      <c r="G571" s="89">
        <f t="shared" ref="G571:L571" si="49">G560+G565+G570</f>
        <v>44564.11</v>
      </c>
      <c r="H571" s="89">
        <f t="shared" si="49"/>
        <v>18856.199999999997</v>
      </c>
      <c r="I571" s="89">
        <f t="shared" si="49"/>
        <v>1302.51</v>
      </c>
      <c r="J571" s="89">
        <f t="shared" si="49"/>
        <v>254.49</v>
      </c>
      <c r="K571" s="89">
        <f t="shared" si="49"/>
        <v>0</v>
      </c>
      <c r="L571" s="89">
        <f t="shared" si="49"/>
        <v>199795.31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0</v>
      </c>
      <c r="G575" s="18">
        <v>0</v>
      </c>
      <c r="H575" s="18">
        <v>0</v>
      </c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50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0</v>
      </c>
      <c r="I577" s="87">
        <f t="shared" si="50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50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0</v>
      </c>
      <c r="G579" s="18">
        <v>0</v>
      </c>
      <c r="H579" s="18">
        <v>0</v>
      </c>
      <c r="I579" s="87">
        <f t="shared" si="50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50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0</v>
      </c>
      <c r="I581" s="87">
        <f t="shared" si="50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29162</v>
      </c>
      <c r="G582" s="18">
        <v>171373.11</v>
      </c>
      <c r="H582" s="18">
        <v>242212.39</v>
      </c>
      <c r="I582" s="87">
        <f t="shared" si="50"/>
        <v>442747.5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50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>
        <v>0</v>
      </c>
      <c r="G584" s="18">
        <v>0</v>
      </c>
      <c r="H584" s="18">
        <v>50161.27</v>
      </c>
      <c r="I584" s="87">
        <f t="shared" si="50"/>
        <v>50161.27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>
        <v>0</v>
      </c>
      <c r="G585" s="18">
        <v>0</v>
      </c>
      <c r="H585" s="18">
        <v>0</v>
      </c>
      <c r="I585" s="87">
        <f t="shared" si="50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>
        <v>0</v>
      </c>
      <c r="I586" s="87">
        <f t="shared" si="50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>
        <v>0</v>
      </c>
      <c r="G587" s="18">
        <v>0</v>
      </c>
      <c r="H587" s="18">
        <v>0</v>
      </c>
      <c r="I587" s="87">
        <f t="shared" si="50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138021.34+0.01</f>
        <v>138021.35</v>
      </c>
      <c r="I591" s="18">
        <f>0.01+138021.34</f>
        <v>138021.35</v>
      </c>
      <c r="J591" s="18">
        <f>-0.02+42468.11</f>
        <v>42468.090000000004</v>
      </c>
      <c r="K591" s="104">
        <f t="shared" ref="K591:K597" si="51">SUM(H591:J591)</f>
        <v>318510.79000000004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88711.29</v>
      </c>
      <c r="I592" s="18">
        <v>88711.29</v>
      </c>
      <c r="J592" s="18">
        <v>88711.28</v>
      </c>
      <c r="K592" s="104">
        <f t="shared" si="51"/>
        <v>266133.86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f>10958.86+731.22</f>
        <v>11690.08</v>
      </c>
      <c r="K593" s="104">
        <f t="shared" si="51"/>
        <v>11690.08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0</v>
      </c>
      <c r="I594" s="18">
        <v>6754.79</v>
      </c>
      <c r="J594" s="18">
        <f>19513.84+400</f>
        <v>19913.84</v>
      </c>
      <c r="K594" s="104">
        <f t="shared" si="51"/>
        <v>26668.63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559.61</v>
      </c>
      <c r="I595" s="18">
        <v>3637.47</v>
      </c>
      <c r="J595" s="18">
        <f>1040+7554.75+0.01</f>
        <v>8594.76</v>
      </c>
      <c r="K595" s="104">
        <f t="shared" si="51"/>
        <v>12791.84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51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175234.23</v>
      </c>
      <c r="I597" s="18">
        <v>175234.23</v>
      </c>
      <c r="J597" s="18">
        <v>53918.23</v>
      </c>
      <c r="K597" s="104">
        <f t="shared" si="51"/>
        <v>404386.69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402526.48</v>
      </c>
      <c r="I598" s="108">
        <f>SUM(I591:I597)</f>
        <v>412359.13</v>
      </c>
      <c r="J598" s="108">
        <f>SUM(J591:J597)</f>
        <v>225296.28</v>
      </c>
      <c r="K598" s="108">
        <f>SUM(K591:K597)</f>
        <v>1040181.8899999999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J211+J290</f>
        <v>199745.15000000002</v>
      </c>
      <c r="I604" s="18">
        <f>J229</f>
        <v>166033.44</v>
      </c>
      <c r="J604" s="18">
        <f>J247</f>
        <v>149561.04</v>
      </c>
      <c r="K604" s="104">
        <f>SUM(H604:J604)</f>
        <v>515339.63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199745.15000000002</v>
      </c>
      <c r="I605" s="108">
        <f>SUM(I602:I604)</f>
        <v>166033.44</v>
      </c>
      <c r="J605" s="108">
        <f>SUM(J602:J604)</f>
        <v>149561.04</v>
      </c>
      <c r="K605" s="108">
        <f>SUM(K602:K604)</f>
        <v>515339.63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8400</v>
      </c>
      <c r="G613" s="18">
        <v>1835.17</v>
      </c>
      <c r="H613" s="18">
        <v>0</v>
      </c>
      <c r="I613" s="18">
        <v>0</v>
      </c>
      <c r="J613" s="18">
        <v>0</v>
      </c>
      <c r="K613" s="18">
        <v>0</v>
      </c>
      <c r="L613" s="88">
        <f>SUM(F613:K613)</f>
        <v>10235.17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2">SUM(F611:F613)</f>
        <v>8400</v>
      </c>
      <c r="G614" s="108">
        <f t="shared" si="52"/>
        <v>1835.17</v>
      </c>
      <c r="H614" s="108">
        <f t="shared" si="52"/>
        <v>0</v>
      </c>
      <c r="I614" s="108">
        <f t="shared" si="52"/>
        <v>0</v>
      </c>
      <c r="J614" s="108">
        <f t="shared" si="52"/>
        <v>0</v>
      </c>
      <c r="K614" s="108">
        <f t="shared" si="52"/>
        <v>0</v>
      </c>
      <c r="L614" s="89">
        <f t="shared" si="52"/>
        <v>10235.17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878087.12</v>
      </c>
      <c r="H617" s="109">
        <f>SUM(F52)</f>
        <v>878087.11999999615</v>
      </c>
      <c r="I617" s="121" t="s">
        <v>900</v>
      </c>
      <c r="J617" s="109">
        <f>G617-H617</f>
        <v>3.8417056202888489E-9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45755.199999999997</v>
      </c>
      <c r="H618" s="109">
        <f>SUM(G52)</f>
        <v>45755.200000000099</v>
      </c>
      <c r="I618" s="121" t="s">
        <v>901</v>
      </c>
      <c r="J618" s="109">
        <f>G618-H618</f>
        <v>-1.0186340659856796E-10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43290.21</v>
      </c>
      <c r="H619" s="109">
        <f>SUM(H52)</f>
        <v>43290.21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1237728.24</v>
      </c>
      <c r="H621" s="109">
        <f>SUM(J52)</f>
        <v>1237728.24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463375.83999999613</v>
      </c>
      <c r="H622" s="109">
        <f>F476</f>
        <v>463375.83999999613</v>
      </c>
      <c r="I622" s="121" t="s">
        <v>101</v>
      </c>
      <c r="J622" s="109">
        <f t="shared" ref="J622:J655" si="53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40721.480000000098</v>
      </c>
      <c r="H623" s="109">
        <f>G476</f>
        <v>40721.480000000098</v>
      </c>
      <c r="I623" s="121" t="s">
        <v>102</v>
      </c>
      <c r="J623" s="109">
        <f t="shared" si="53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3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3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1237728.24</v>
      </c>
      <c r="H626" s="109">
        <f>J476</f>
        <v>1237728.24</v>
      </c>
      <c r="I626" s="140" t="s">
        <v>105</v>
      </c>
      <c r="J626" s="109">
        <f t="shared" si="53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24838582.979999997</v>
      </c>
      <c r="H627" s="104">
        <f>SUM(F468)</f>
        <v>24838582.979999997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513059.08000000007</v>
      </c>
      <c r="H628" s="104">
        <f>SUM(G468)</f>
        <v>513059.08000000007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272315.59000000003</v>
      </c>
      <c r="H629" s="104">
        <f>SUM(H468)</f>
        <v>272315.59000000003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26833.140000000003</v>
      </c>
      <c r="H631" s="104">
        <f>SUM(J468)</f>
        <v>26833.140000000003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24847058.93</v>
      </c>
      <c r="H632" s="104">
        <f>SUM(F472)</f>
        <v>24847058.93</v>
      </c>
      <c r="I632" s="140" t="s">
        <v>111</v>
      </c>
      <c r="J632" s="109">
        <f t="shared" si="53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272315.58999999997</v>
      </c>
      <c r="H633" s="104">
        <f>SUM(H472)</f>
        <v>272315.58999999997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198090.21999999997</v>
      </c>
      <c r="H634" s="104">
        <f>I369</f>
        <v>198090.22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541726.82999999996</v>
      </c>
      <c r="H635" s="104">
        <f>SUM(G472)</f>
        <v>541726.82999999996</v>
      </c>
      <c r="I635" s="140" t="s">
        <v>114</v>
      </c>
      <c r="J635" s="109">
        <f t="shared" si="53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3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26833.140000000003</v>
      </c>
      <c r="H637" s="164">
        <f>SUM(J468)</f>
        <v>26833.140000000003</v>
      </c>
      <c r="I637" s="165" t="s">
        <v>110</v>
      </c>
      <c r="J637" s="151">
        <f t="shared" si="53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60000</v>
      </c>
      <c r="H638" s="164">
        <f>SUM(J472)</f>
        <v>60000</v>
      </c>
      <c r="I638" s="165" t="s">
        <v>117</v>
      </c>
      <c r="J638" s="151">
        <f t="shared" si="53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886528.33000000007</v>
      </c>
      <c r="H639" s="104">
        <f>SUM(F461)</f>
        <v>886528.33000000007</v>
      </c>
      <c r="I639" s="140" t="s">
        <v>857</v>
      </c>
      <c r="J639" s="109">
        <f t="shared" si="53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351199.91</v>
      </c>
      <c r="H640" s="104">
        <f>SUM(G461)</f>
        <v>351199.91</v>
      </c>
      <c r="I640" s="140" t="s">
        <v>858</v>
      </c>
      <c r="J640" s="109">
        <f t="shared" si="53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3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1237728.24</v>
      </c>
      <c r="H642" s="104">
        <f>SUM(I461)</f>
        <v>1237728.24</v>
      </c>
      <c r="I642" s="140" t="s">
        <v>860</v>
      </c>
      <c r="J642" s="109">
        <f t="shared" si="53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3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26833.140000000003</v>
      </c>
      <c r="H644" s="104">
        <f>H408</f>
        <v>26833.140000000003</v>
      </c>
      <c r="I644" s="140" t="s">
        <v>481</v>
      </c>
      <c r="J644" s="109">
        <f t="shared" si="53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3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26833.140000000003</v>
      </c>
      <c r="H646" s="104">
        <f>L408</f>
        <v>26833.140000000003</v>
      </c>
      <c r="I646" s="140" t="s">
        <v>478</v>
      </c>
      <c r="J646" s="109">
        <f t="shared" si="53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1040181.8899999999</v>
      </c>
      <c r="H647" s="104">
        <f>L208+L226+L244</f>
        <v>1040181.8899999999</v>
      </c>
      <c r="I647" s="140" t="s">
        <v>397</v>
      </c>
      <c r="J647" s="109">
        <f t="shared" si="53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515339.63</v>
      </c>
      <c r="H648" s="104">
        <f>(J257+J338)-(J255+J336)</f>
        <v>515339.63</v>
      </c>
      <c r="I648" s="140" t="s">
        <v>703</v>
      </c>
      <c r="J648" s="109">
        <f t="shared" si="53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402526.47999999992</v>
      </c>
      <c r="H649" s="104">
        <f>H598</f>
        <v>402526.48</v>
      </c>
      <c r="I649" s="140" t="s">
        <v>389</v>
      </c>
      <c r="J649" s="109">
        <f t="shared" si="53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412359.12999999995</v>
      </c>
      <c r="H650" s="104">
        <f>I598</f>
        <v>412359.13</v>
      </c>
      <c r="I650" s="140" t="s">
        <v>390</v>
      </c>
      <c r="J650" s="109">
        <f t="shared" si="53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225296.28</v>
      </c>
      <c r="H651" s="104">
        <f>J598</f>
        <v>225296.28</v>
      </c>
      <c r="I651" s="140" t="s">
        <v>391</v>
      </c>
      <c r="J651" s="109">
        <f t="shared" si="53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3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3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3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3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7069171</v>
      </c>
      <c r="G660" s="19">
        <f>(L229+L309+L359)</f>
        <v>7572458.9500000002</v>
      </c>
      <c r="H660" s="19">
        <f>(L247+L328+L360)</f>
        <v>9733765.1500000004</v>
      </c>
      <c r="I660" s="19">
        <f>SUM(F660:H660)</f>
        <v>24375395.100000001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102799.95093660214</v>
      </c>
      <c r="G661" s="19">
        <f>(L359/IF(SUM(L358:L360)=0,1,SUM(L358:L360))*(SUM(G97:G110)))</f>
        <v>150158.53005204527</v>
      </c>
      <c r="H661" s="19">
        <f>(L360/IF(SUM(L358:L360)=0,1,SUM(L358:L360))*(SUM(G97:G110)))</f>
        <v>177831.49901135266</v>
      </c>
      <c r="I661" s="19">
        <f>SUM(F661:H661)</f>
        <v>430789.9800000001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362167.35999999993</v>
      </c>
      <c r="G662" s="19">
        <f>(L226+L306)-(J226+J306)</f>
        <v>372000.00999999995</v>
      </c>
      <c r="H662" s="19">
        <f>(L244+L325)-(J244+J325)</f>
        <v>212878.09</v>
      </c>
      <c r="I662" s="19">
        <f>SUM(F662:H662)</f>
        <v>947045.45999999985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228907.15000000002</v>
      </c>
      <c r="G663" s="199">
        <f>SUM(G575:G587)+SUM(I602:I604)+L612</f>
        <v>337406.55</v>
      </c>
      <c r="H663" s="199">
        <f>SUM(H575:H587)+SUM(J602:J604)+L613</f>
        <v>452169.87000000005</v>
      </c>
      <c r="I663" s="19">
        <f>SUM(F663:H663)</f>
        <v>1018483.5700000001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6375296.5390633978</v>
      </c>
      <c r="G664" s="19">
        <f>G660-SUM(G661:G663)</f>
        <v>6712893.8599479552</v>
      </c>
      <c r="H664" s="19">
        <f>H660-SUM(H661:H663)</f>
        <v>8890885.6909886487</v>
      </c>
      <c r="I664" s="19">
        <f>I660-SUM(I661:I663)</f>
        <v>21979076.090000004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380.54</v>
      </c>
      <c r="G665" s="248">
        <v>485.43</v>
      </c>
      <c r="H665" s="248">
        <v>484.6</v>
      </c>
      <c r="I665" s="19">
        <f>SUM(F665:H665)</f>
        <v>1350.5700000000002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16753.29</v>
      </c>
      <c r="G667" s="19">
        <f>ROUND(G664/G665,2)</f>
        <v>13828.76</v>
      </c>
      <c r="H667" s="19">
        <f>ROUND(H664/H665,2)</f>
        <v>18346.849999999999</v>
      </c>
      <c r="I667" s="19">
        <f>ROUND(I664/I665,2)</f>
        <v>16273.93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-13.39</v>
      </c>
      <c r="I670" s="19">
        <f>SUM(F670:H670)</f>
        <v>-13.39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16753.29</v>
      </c>
      <c r="G672" s="19">
        <f>ROUND((G664+G669)/(G665+G670),2)</f>
        <v>13828.76</v>
      </c>
      <c r="H672" s="19">
        <f>ROUND((H664+H669)/(H665+H670),2)</f>
        <v>18868.2</v>
      </c>
      <c r="I672" s="19">
        <f>ROUND((I664+I669)/(I665+I670),2)</f>
        <v>16436.89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BOW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6592426.2799999993</v>
      </c>
      <c r="C9" s="229">
        <f>'DOE25'!G197+'DOE25'!G215+'DOE25'!G233+'DOE25'!G276+'DOE25'!G295+'DOE25'!G314</f>
        <v>3289306.55</v>
      </c>
    </row>
    <row r="10" spans="1:3" x14ac:dyDescent="0.2">
      <c r="A10" t="s">
        <v>779</v>
      </c>
      <c r="B10" s="240">
        <f>6592426.28-271264.66</f>
        <v>6321161.6200000001</v>
      </c>
      <c r="C10" s="240">
        <f>3289306.55-107424.6</f>
        <v>3181881.9499999997</v>
      </c>
    </row>
    <row r="11" spans="1:3" x14ac:dyDescent="0.2">
      <c r="A11" t="s">
        <v>780</v>
      </c>
      <c r="B11" s="240">
        <v>27648.63</v>
      </c>
      <c r="C11" s="240">
        <f>11440.8</f>
        <v>11440.8</v>
      </c>
    </row>
    <row r="12" spans="1:3" x14ac:dyDescent="0.2">
      <c r="A12" t="s">
        <v>781</v>
      </c>
      <c r="B12" s="240">
        <f>29967.37*3+76856.96*2</f>
        <v>243616.03000000003</v>
      </c>
      <c r="C12" s="240">
        <f>15566.74*3+23999.95+25283.63</f>
        <v>95983.8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6592426.2800000003</v>
      </c>
      <c r="C13" s="231">
        <f>SUM(C10:C12)</f>
        <v>3289306.5499999993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2797287.46</v>
      </c>
      <c r="C18" s="229">
        <f>'DOE25'!G198+'DOE25'!G216+'DOE25'!G234+'DOE25'!G277+'DOE25'!G296+'DOE25'!G315</f>
        <v>1223939.03</v>
      </c>
    </row>
    <row r="19" spans="1:3" x14ac:dyDescent="0.2">
      <c r="A19" t="s">
        <v>779</v>
      </c>
      <c r="B19" s="240">
        <f>394483.34-28920.34+339529.34-28920.34+376614.34-28920.34</f>
        <v>1023866.0000000001</v>
      </c>
      <c r="C19" s="240">
        <f>205741.49-9719.96+148567.38-9719-96+167631.72-9719.96</f>
        <v>492685.67</v>
      </c>
    </row>
    <row r="20" spans="1:3" x14ac:dyDescent="0.2">
      <c r="A20" t="s">
        <v>780</v>
      </c>
      <c r="B20" s="240">
        <f>2797287.46-1023866-120786.06</f>
        <v>1652635.4</v>
      </c>
      <c r="C20" s="240">
        <f>1223939.03-492685.67-39787.52</f>
        <v>691465.84000000008</v>
      </c>
    </row>
    <row r="21" spans="1:3" x14ac:dyDescent="0.2">
      <c r="A21" t="s">
        <v>781</v>
      </c>
      <c r="B21" s="240">
        <f>28200.34*3+36185.04</f>
        <v>120786.06</v>
      </c>
      <c r="C21" s="240">
        <f>9719.96*3+10627.64</f>
        <v>39787.519999999997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2797287.46</v>
      </c>
      <c r="C22" s="231">
        <f>SUM(C19:C21)</f>
        <v>1223939.03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339577.57</v>
      </c>
      <c r="C36" s="235">
        <f>'DOE25'!G200+'DOE25'!G218+'DOE25'!G236+'DOE25'!G279+'DOE25'!G298+'DOE25'!G317</f>
        <v>80309.990000000005</v>
      </c>
    </row>
    <row r="37" spans="1:3" x14ac:dyDescent="0.2">
      <c r="A37" t="s">
        <v>779</v>
      </c>
      <c r="B37" s="240">
        <f>9339+30032+45280+8400+339577.57-203199.91</f>
        <v>229428.66</v>
      </c>
      <c r="C37" s="240">
        <f>1393.95+6404.04+9957.07+1847.16+80309.99-74171.78</f>
        <v>25740.430000000008</v>
      </c>
    </row>
    <row r="38" spans="1:3" x14ac:dyDescent="0.2">
      <c r="A38" t="s">
        <v>780</v>
      </c>
      <c r="B38" s="240">
        <f>22875+25000.34</f>
        <v>47875.34</v>
      </c>
      <c r="C38" s="240">
        <f>5030.21+11205.31</f>
        <v>16235.52</v>
      </c>
    </row>
    <row r="39" spans="1:3" x14ac:dyDescent="0.2">
      <c r="A39" t="s">
        <v>781</v>
      </c>
      <c r="B39" s="240">
        <f>62273.57</f>
        <v>62273.57</v>
      </c>
      <c r="C39" s="240">
        <f>38334.04</f>
        <v>38334.04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339577.57</v>
      </c>
      <c r="C40" s="231">
        <f>SUM(C37:C39)</f>
        <v>80309.99000000002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35" sqref="D3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BOW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15610467.890000001</v>
      </c>
      <c r="D5" s="20">
        <f>SUM('DOE25'!L197:L200)+SUM('DOE25'!L215:L218)+SUM('DOE25'!L233:L236)-F5-G5</f>
        <v>15554710.480000002</v>
      </c>
      <c r="E5" s="243"/>
      <c r="F5" s="255">
        <f>SUM('DOE25'!J197:J200)+SUM('DOE25'!J215:J218)+SUM('DOE25'!J233:J236)</f>
        <v>38676.870000000003</v>
      </c>
      <c r="G5" s="53">
        <f>SUM('DOE25'!K197:K200)+SUM('DOE25'!K215:K218)+SUM('DOE25'!K233:K236)</f>
        <v>17080.54</v>
      </c>
      <c r="H5" s="259"/>
    </row>
    <row r="6" spans="1:9" x14ac:dyDescent="0.2">
      <c r="A6" s="32">
        <v>2100</v>
      </c>
      <c r="B6" t="s">
        <v>801</v>
      </c>
      <c r="C6" s="245">
        <f t="shared" si="0"/>
        <v>2029790.0600000003</v>
      </c>
      <c r="D6" s="20">
        <f>'DOE25'!L202+'DOE25'!L220+'DOE25'!L238-F6-G6</f>
        <v>2029464.8200000003</v>
      </c>
      <c r="E6" s="243"/>
      <c r="F6" s="255">
        <f>'DOE25'!J202+'DOE25'!J220+'DOE25'!J238</f>
        <v>75.239999999999995</v>
      </c>
      <c r="G6" s="53">
        <f>'DOE25'!K202+'DOE25'!K220+'DOE25'!K238</f>
        <v>250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1003835.5</v>
      </c>
      <c r="D7" s="20">
        <f>'DOE25'!L203+'DOE25'!L221+'DOE25'!L239-F7-G7</f>
        <v>695479.15</v>
      </c>
      <c r="E7" s="243"/>
      <c r="F7" s="255">
        <f>'DOE25'!J203+'DOE25'!J221+'DOE25'!J239</f>
        <v>308056.34999999998</v>
      </c>
      <c r="G7" s="53">
        <f>'DOE25'!K203+'DOE25'!K221+'DOE25'!K239</f>
        <v>300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104617.22999999997</v>
      </c>
      <c r="D8" s="243"/>
      <c r="E8" s="20">
        <f>'DOE25'!L204+'DOE25'!L222+'DOE25'!L240-F8-G8-D9-D11</f>
        <v>25857.649999999965</v>
      </c>
      <c r="F8" s="255">
        <f>'DOE25'!J204+'DOE25'!J222+'DOE25'!J240</f>
        <v>128.19999999999999</v>
      </c>
      <c r="G8" s="53">
        <f>'DOE25'!K204+'DOE25'!K222+'DOE25'!K240</f>
        <v>78631.38</v>
      </c>
      <c r="H8" s="259"/>
    </row>
    <row r="9" spans="1:9" x14ac:dyDescent="0.2">
      <c r="A9" s="32">
        <v>2310</v>
      </c>
      <c r="B9" t="s">
        <v>818</v>
      </c>
      <c r="C9" s="245">
        <f t="shared" si="0"/>
        <v>60526.400000000001</v>
      </c>
      <c r="D9" s="244">
        <f>60526.4</f>
        <v>60526.400000000001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15592.5</v>
      </c>
      <c r="D10" s="243"/>
      <c r="E10" s="244">
        <v>15592.5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271656.01</v>
      </c>
      <c r="D11" s="244">
        <v>271656.01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1198167.3400000001</v>
      </c>
      <c r="D12" s="20">
        <f>'DOE25'!L205+'DOE25'!L223+'DOE25'!L241-F12-G12</f>
        <v>1185722.5500000003</v>
      </c>
      <c r="E12" s="243"/>
      <c r="F12" s="255">
        <f>'DOE25'!J205+'DOE25'!J223+'DOE25'!J241</f>
        <v>475.89</v>
      </c>
      <c r="G12" s="53">
        <f>'DOE25'!K205+'DOE25'!K223+'DOE25'!K241</f>
        <v>11968.9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215724.66</v>
      </c>
      <c r="D13" s="243"/>
      <c r="E13" s="20">
        <f>'DOE25'!L206+'DOE25'!L224+'DOE25'!L242-F13-G13</f>
        <v>212119.68000000002</v>
      </c>
      <c r="F13" s="255">
        <f>'DOE25'!J206+'DOE25'!J224+'DOE25'!J242</f>
        <v>2274.9900000000002</v>
      </c>
      <c r="G13" s="53">
        <f>'DOE25'!K206+'DOE25'!K224+'DOE25'!K242</f>
        <v>1329.99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2026385.7000000002</v>
      </c>
      <c r="D14" s="20">
        <f>'DOE25'!L207+'DOE25'!L225+'DOE25'!L243-F14-G14</f>
        <v>1953870.0400000003</v>
      </c>
      <c r="E14" s="243"/>
      <c r="F14" s="255">
        <f>'DOE25'!J207+'DOE25'!J225+'DOE25'!J243</f>
        <v>72515.66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1040181.8899999999</v>
      </c>
      <c r="D15" s="20">
        <f>'DOE25'!L208+'DOE25'!L226+'DOE25'!L244-F15-G15</f>
        <v>942549.93999999983</v>
      </c>
      <c r="E15" s="243"/>
      <c r="F15" s="255">
        <f>'DOE25'!J208+'DOE25'!J226+'DOE25'!J244</f>
        <v>93136.430000000008</v>
      </c>
      <c r="G15" s="53">
        <f>'DOE25'!K208+'DOE25'!K226+'DOE25'!K244</f>
        <v>4495.5199999999995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1285706.25</v>
      </c>
      <c r="D25" s="243"/>
      <c r="E25" s="243"/>
      <c r="F25" s="258"/>
      <c r="G25" s="256"/>
      <c r="H25" s="257">
        <f>'DOE25'!L260+'DOE25'!L261+'DOE25'!L341+'DOE25'!L342</f>
        <v>1285706.25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352747.77999999997</v>
      </c>
      <c r="D29" s="20">
        <f>'DOE25'!L358+'DOE25'!L359+'DOE25'!L360-'DOE25'!I367-F29-G29</f>
        <v>352642.77999999997</v>
      </c>
      <c r="E29" s="243"/>
      <c r="F29" s="255">
        <f>'DOE25'!J358+'DOE25'!J359+'DOE25'!J360</f>
        <v>0</v>
      </c>
      <c r="G29" s="53">
        <f>'DOE25'!K358+'DOE25'!K359+'DOE25'!K360</f>
        <v>105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272315.58999999997</v>
      </c>
      <c r="D31" s="20">
        <f>'DOE25'!L290+'DOE25'!L309+'DOE25'!L328+'DOE25'!L333+'DOE25'!L334+'DOE25'!L335-F31-G31</f>
        <v>269396.07999999996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2919.51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23316018.250000004</v>
      </c>
      <c r="E33" s="246">
        <f>SUM(E5:E31)</f>
        <v>253569.83</v>
      </c>
      <c r="F33" s="246">
        <f>SUM(F5:F31)</f>
        <v>515339.62999999995</v>
      </c>
      <c r="G33" s="246">
        <f>SUM(G5:G31)</f>
        <v>117080.84000000001</v>
      </c>
      <c r="H33" s="246">
        <f>SUM(H5:H31)</f>
        <v>1285706.25</v>
      </c>
    </row>
    <row r="35" spans="2:8" ht="12" thickBot="1" x14ac:dyDescent="0.25">
      <c r="B35" s="253" t="s">
        <v>847</v>
      </c>
      <c r="D35" s="254">
        <f>E33</f>
        <v>253569.83</v>
      </c>
      <c r="E35" s="249"/>
    </row>
    <row r="36" spans="2:8" ht="12" thickTop="1" x14ac:dyDescent="0.2">
      <c r="B36" t="s">
        <v>815</v>
      </c>
      <c r="D36" s="20">
        <f>D33</f>
        <v>23316018.250000004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BOW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818990.17</v>
      </c>
      <c r="D8" s="95">
        <f>'DOE25'!G9</f>
        <v>-5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1237728.24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41529.39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43290.21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34584.35</v>
      </c>
      <c r="D13" s="95">
        <f>'DOE25'!G14</f>
        <v>4230.8100000000004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24512.6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878087.12</v>
      </c>
      <c r="D18" s="41">
        <f>SUM(D8:D17)</f>
        <v>45755.199999999997</v>
      </c>
      <c r="E18" s="41">
        <f>SUM(E8:E17)</f>
        <v>43290.21</v>
      </c>
      <c r="F18" s="41">
        <f>SUM(F8:F17)</f>
        <v>0</v>
      </c>
      <c r="G18" s="41">
        <f>SUM(G8:G17)</f>
        <v>1237728.24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35445.910000000003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43290.21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300667.96000000002</v>
      </c>
      <c r="D23" s="95">
        <f>'DOE25'!G24</f>
        <v>147.72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47072.25</v>
      </c>
      <c r="D24" s="95">
        <f>'DOE25'!G25</f>
        <v>4886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26925.16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4600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414711.27999999997</v>
      </c>
      <c r="D31" s="41">
        <f>SUM(D21:D30)</f>
        <v>5033.72</v>
      </c>
      <c r="E31" s="41">
        <f>SUM(E21:E30)</f>
        <v>43290.21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40721.480000000098</v>
      </c>
      <c r="E47" s="95">
        <f>'DOE25'!H48</f>
        <v>0</v>
      </c>
      <c r="F47" s="95">
        <f>'DOE25'!I48</f>
        <v>0</v>
      </c>
      <c r="G47" s="95">
        <f>'DOE25'!J48</f>
        <v>1237728.24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463375.83999999613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463375.83999999613</v>
      </c>
      <c r="D50" s="41">
        <f>SUM(D34:D49)</f>
        <v>40721.480000000098</v>
      </c>
      <c r="E50" s="41">
        <f>SUM(E34:E49)</f>
        <v>0</v>
      </c>
      <c r="F50" s="41">
        <f>SUM(F34:F49)</f>
        <v>0</v>
      </c>
      <c r="G50" s="41">
        <f>SUM(G34:G49)</f>
        <v>1237728.24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878087.11999999615</v>
      </c>
      <c r="D51" s="41">
        <f>D50+D31</f>
        <v>45755.200000000099</v>
      </c>
      <c r="E51" s="41">
        <f>E50+E31</f>
        <v>43290.21</v>
      </c>
      <c r="F51" s="41">
        <f>F50+F31</f>
        <v>0</v>
      </c>
      <c r="G51" s="41">
        <f>G50+G31</f>
        <v>1237728.24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17869590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169391.15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1722.85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26833.140000000003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425974.46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565927.46</v>
      </c>
      <c r="D61" s="95">
        <f>SUM('DOE25'!G98:G110)</f>
        <v>4815.5200000000004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737041.46</v>
      </c>
      <c r="D62" s="130">
        <f>SUM(D57:D61)</f>
        <v>430789.98000000004</v>
      </c>
      <c r="E62" s="130">
        <f>SUM(E57:E61)</f>
        <v>0</v>
      </c>
      <c r="F62" s="130">
        <f>SUM(F57:F61)</f>
        <v>0</v>
      </c>
      <c r="G62" s="130">
        <f>SUM(G57:G61)</f>
        <v>26833.140000000003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18606631.460000001</v>
      </c>
      <c r="D63" s="22">
        <f>D56+D62</f>
        <v>430789.98000000004</v>
      </c>
      <c r="E63" s="22">
        <f>E56+E62</f>
        <v>0</v>
      </c>
      <c r="F63" s="22">
        <f>F56+F62</f>
        <v>0</v>
      </c>
      <c r="G63" s="22">
        <f>G56+G62</f>
        <v>26833.140000000003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3460583.26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2162713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11136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5634432.2599999998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313323.82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130914.27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8787.6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24408.32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453025.69</v>
      </c>
      <c r="D78" s="130">
        <f>SUM(D72:D77)</f>
        <v>24408.32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6087457.9500000002</v>
      </c>
      <c r="D81" s="130">
        <f>SUM(D79:D80)+D78+D70</f>
        <v>24408.32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236161.7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84493.57</v>
      </c>
      <c r="D88" s="95">
        <f>SUM('DOE25'!G153:G161)</f>
        <v>57860.78</v>
      </c>
      <c r="E88" s="95">
        <f>SUM('DOE25'!H153:H161)</f>
        <v>36153.89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84493.57</v>
      </c>
      <c r="D91" s="131">
        <f>SUM(D85:D90)</f>
        <v>57860.78</v>
      </c>
      <c r="E91" s="131">
        <f>SUM(E85:E90)</f>
        <v>272315.59000000003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60000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60000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24838582.98</v>
      </c>
      <c r="D104" s="86">
        <f>D63+D81+D91+D103</f>
        <v>513059.08000000007</v>
      </c>
      <c r="E104" s="86">
        <f>E63+E81+E91+E103</f>
        <v>272315.59000000003</v>
      </c>
      <c r="F104" s="86">
        <f>F63+F81+F91+F103</f>
        <v>0</v>
      </c>
      <c r="G104" s="86">
        <f>G63+G81+G103</f>
        <v>26833.140000000003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10151856.879999999</v>
      </c>
      <c r="D109" s="24" t="s">
        <v>289</v>
      </c>
      <c r="E109" s="95">
        <f>('DOE25'!L276)+('DOE25'!L295)+('DOE25'!L314)</f>
        <v>33193.79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4845902.8900000006</v>
      </c>
      <c r="D110" s="24" t="s">
        <v>289</v>
      </c>
      <c r="E110" s="95">
        <f>('DOE25'!L277)+('DOE25'!L296)+('DOE25'!L315)</f>
        <v>239121.8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50161.27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562546.85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15610467.889999999</v>
      </c>
      <c r="D115" s="86">
        <f>SUM(D109:D114)</f>
        <v>0</v>
      </c>
      <c r="E115" s="86">
        <f>SUM(E109:E114)</f>
        <v>272315.58999999997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2029790.0600000003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1003835.5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436799.64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1198167.3400000001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215724.66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2026385.7000000002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1040181.8899999999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541726.82999999996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7950884.790000001</v>
      </c>
      <c r="D128" s="86">
        <f>SUM(D118:D127)</f>
        <v>541726.82999999996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1005000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280706.25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60000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19184.230000000003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7648.91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-26833.140000000003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1285706.25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60000</v>
      </c>
    </row>
    <row r="145" spans="1:9" ht="12.75" thickTop="1" thickBot="1" x14ac:dyDescent="0.25">
      <c r="A145" s="33" t="s">
        <v>244</v>
      </c>
      <c r="C145" s="86">
        <f>(C115+C128+C144)</f>
        <v>24847058.93</v>
      </c>
      <c r="D145" s="86">
        <f>(D115+D128+D144)</f>
        <v>541726.82999999996</v>
      </c>
      <c r="E145" s="86">
        <f>(E115+E128+E144)</f>
        <v>272315.58999999997</v>
      </c>
      <c r="F145" s="86">
        <f>(F115+F128+F144)</f>
        <v>0</v>
      </c>
      <c r="G145" s="86">
        <f>(G115+G128+G144)</f>
        <v>60000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8/15/96</v>
      </c>
      <c r="C152" s="152" t="str">
        <f>'DOE25'!G491</f>
        <v>7/1/2006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8/20/16</v>
      </c>
      <c r="C153" s="152" t="str">
        <f>'DOE25'!G492</f>
        <v>7/1/2026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16157528</v>
      </c>
      <c r="C154" s="137">
        <f>'DOE25'!G493</f>
        <v>4027000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5.7</v>
      </c>
      <c r="C155" s="137">
        <f>'DOE25'!G494</f>
        <v>4.4000000000000004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3220000</v>
      </c>
      <c r="C156" s="137">
        <f>'DOE25'!G495</f>
        <v>2800000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6020000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805000</v>
      </c>
      <c r="C158" s="137">
        <f>'DOE25'!G497</f>
        <v>200000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1005000</v>
      </c>
    </row>
    <row r="159" spans="1:9" x14ac:dyDescent="0.2">
      <c r="A159" s="22" t="s">
        <v>35</v>
      </c>
      <c r="B159" s="137">
        <f>'DOE25'!F498</f>
        <v>2415000</v>
      </c>
      <c r="C159" s="137">
        <f>'DOE25'!G498</f>
        <v>2600000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5015000</v>
      </c>
    </row>
    <row r="160" spans="1:9" x14ac:dyDescent="0.2">
      <c r="A160" s="22" t="s">
        <v>36</v>
      </c>
      <c r="B160" s="137">
        <f>'DOE25'!F499</f>
        <v>208219.5</v>
      </c>
      <c r="C160" s="137">
        <f>'DOE25'!G499</f>
        <v>1063261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1271480.5</v>
      </c>
    </row>
    <row r="161" spans="1:7" x14ac:dyDescent="0.2">
      <c r="A161" s="22" t="s">
        <v>37</v>
      </c>
      <c r="B161" s="137">
        <f>'DOE25'!F500</f>
        <v>2623219.5</v>
      </c>
      <c r="C161" s="137">
        <f>'DOE25'!G500</f>
        <v>3663261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6286480.5</v>
      </c>
    </row>
    <row r="162" spans="1:7" x14ac:dyDescent="0.2">
      <c r="A162" s="22" t="s">
        <v>38</v>
      </c>
      <c r="B162" s="137">
        <f>'DOE25'!F501</f>
        <v>805000</v>
      </c>
      <c r="C162" s="137">
        <f>'DOE25'!G501</f>
        <v>200000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1005000</v>
      </c>
    </row>
    <row r="163" spans="1:7" x14ac:dyDescent="0.2">
      <c r="A163" s="22" t="s">
        <v>39</v>
      </c>
      <c r="B163" s="137">
        <f>'DOE25'!F502</f>
        <v>115718.75</v>
      </c>
      <c r="C163" s="137">
        <f>'DOE25'!G502</f>
        <v>110100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225818.75</v>
      </c>
    </row>
    <row r="164" spans="1:7" x14ac:dyDescent="0.2">
      <c r="A164" s="22" t="s">
        <v>246</v>
      </c>
      <c r="B164" s="137">
        <f>'DOE25'!F503</f>
        <v>920718.75</v>
      </c>
      <c r="C164" s="137">
        <f>'DOE25'!G503</f>
        <v>310100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1230818.75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BOW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16753</v>
      </c>
    </row>
    <row r="5" spans="1:4" x14ac:dyDescent="0.2">
      <c r="B5" t="s">
        <v>704</v>
      </c>
      <c r="C5" s="179">
        <f>IF('DOE25'!G665+'DOE25'!G670=0,0,ROUND('DOE25'!G672,0))</f>
        <v>13829</v>
      </c>
    </row>
    <row r="6" spans="1:4" x14ac:dyDescent="0.2">
      <c r="B6" t="s">
        <v>62</v>
      </c>
      <c r="C6" s="179">
        <f>IF('DOE25'!H665+'DOE25'!H670=0,0,ROUND('DOE25'!H672,0))</f>
        <v>18868</v>
      </c>
    </row>
    <row r="7" spans="1:4" x14ac:dyDescent="0.2">
      <c r="B7" t="s">
        <v>705</v>
      </c>
      <c r="C7" s="179">
        <f>IF('DOE25'!I665+'DOE25'!I670=0,0,ROUND('DOE25'!I672,0))</f>
        <v>16437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10185051</v>
      </c>
      <c r="D10" s="182">
        <f>ROUND((C10/$C$28)*100,1)</f>
        <v>42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5085025</v>
      </c>
      <c r="D11" s="182">
        <f>ROUND((C11/$C$28)*100,1)</f>
        <v>21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50161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562547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2029790</v>
      </c>
      <c r="D15" s="182">
        <f t="shared" ref="D15:D27" si="0">ROUND((C15/$C$28)*100,1)</f>
        <v>8.4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1003836</v>
      </c>
      <c r="D16" s="182">
        <f t="shared" si="0"/>
        <v>4.0999999999999996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436800</v>
      </c>
      <c r="D17" s="182">
        <f t="shared" si="0"/>
        <v>1.8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1198167</v>
      </c>
      <c r="D18" s="182">
        <f t="shared" si="0"/>
        <v>4.9000000000000004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215725</v>
      </c>
      <c r="D19" s="182">
        <f t="shared" si="0"/>
        <v>0.9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2026386</v>
      </c>
      <c r="D20" s="182">
        <f t="shared" si="0"/>
        <v>8.4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1040182</v>
      </c>
      <c r="D21" s="182">
        <f t="shared" si="0"/>
        <v>4.3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280706</v>
      </c>
      <c r="D25" s="182">
        <f t="shared" si="0"/>
        <v>1.2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110937.01999999996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24225313.02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24225313.02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1005000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17869590</v>
      </c>
      <c r="D35" s="182">
        <f t="shared" ref="D35:D40" si="1">ROUND((C35/$C$41)*100,1)</f>
        <v>71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763874.59999999776</v>
      </c>
      <c r="D36" s="182">
        <f t="shared" si="1"/>
        <v>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5623296</v>
      </c>
      <c r="D37" s="182">
        <f t="shared" si="1"/>
        <v>22.4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488570</v>
      </c>
      <c r="D38" s="182">
        <f t="shared" si="1"/>
        <v>1.9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414670</v>
      </c>
      <c r="D39" s="182">
        <f t="shared" si="1"/>
        <v>1.6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25160000.599999998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2" sqref="C12:M12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BOW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 t="s">
        <v>917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 t="s">
        <v>919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 t="s">
        <v>918</v>
      </c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2014-04-29T12:07:51Z</cp:lastPrinted>
  <dcterms:created xsi:type="dcterms:W3CDTF">1997-12-04T19:04:30Z</dcterms:created>
  <dcterms:modified xsi:type="dcterms:W3CDTF">2014-12-05T15:55:45Z</dcterms:modified>
</cp:coreProperties>
</file>