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11" i="1" l="1"/>
  <c r="J425" i="1"/>
  <c r="I425" i="1"/>
  <c r="H521" i="1"/>
  <c r="H531" i="1"/>
  <c r="H234" i="1"/>
  <c r="H198" i="1"/>
  <c r="H208" i="1"/>
  <c r="H282" i="1"/>
  <c r="G203" i="1"/>
  <c r="F203" i="1"/>
  <c r="H207" i="1" l="1"/>
  <c r="H205" i="1"/>
  <c r="H204" i="1"/>
  <c r="K202" i="1"/>
  <c r="I202" i="1"/>
  <c r="H202" i="1"/>
  <c r="G202" i="1"/>
  <c r="F202" i="1"/>
  <c r="K200" i="1"/>
  <c r="G200" i="1"/>
  <c r="F200" i="1"/>
  <c r="I198" i="1"/>
  <c r="G198" i="1"/>
  <c r="F198" i="1"/>
  <c r="H159" i="1"/>
  <c r="H155" i="1"/>
  <c r="H154" i="1"/>
  <c r="H102" i="1"/>
  <c r="F368" i="1"/>
  <c r="F367" i="1"/>
  <c r="I358" i="1"/>
  <c r="H358" i="1"/>
  <c r="G358" i="1"/>
  <c r="G158" i="1"/>
  <c r="G132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E16" i="13" s="1"/>
  <c r="L245" i="1"/>
  <c r="F5" i="13"/>
  <c r="G5" i="13"/>
  <c r="L197" i="1"/>
  <c r="C10" i="10" s="1"/>
  <c r="L198" i="1"/>
  <c r="L199" i="1"/>
  <c r="C12" i="10" s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C119" i="2" s="1"/>
  <c r="L239" i="1"/>
  <c r="F12" i="13"/>
  <c r="G12" i="13"/>
  <c r="L205" i="1"/>
  <c r="C121" i="2" s="1"/>
  <c r="L223" i="1"/>
  <c r="L241" i="1"/>
  <c r="F14" i="13"/>
  <c r="G14" i="13"/>
  <c r="L207" i="1"/>
  <c r="L225" i="1"/>
  <c r="C123" i="2" s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E111" i="2" s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G662" i="1" s="1"/>
  <c r="I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C32" i="10" s="1"/>
  <c r="L342" i="1"/>
  <c r="L351" i="1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H112" i="1" s="1"/>
  <c r="I60" i="1"/>
  <c r="F79" i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2" i="1"/>
  <c r="I169" i="1" s="1"/>
  <c r="C11" i="10"/>
  <c r="C13" i="10"/>
  <c r="C16" i="10"/>
  <c r="C18" i="10"/>
  <c r="C20" i="10"/>
  <c r="L250" i="1"/>
  <c r="L332" i="1"/>
  <c r="L254" i="1"/>
  <c r="L268" i="1"/>
  <c r="C26" i="10" s="1"/>
  <c r="L269" i="1"/>
  <c r="L349" i="1"/>
  <c r="E142" i="2" s="1"/>
  <c r="L350" i="1"/>
  <c r="I665" i="1"/>
  <c r="I670" i="1"/>
  <c r="L211" i="1"/>
  <c r="L247" i="1"/>
  <c r="G66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G552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C112" i="2"/>
  <c r="E112" i="2"/>
  <c r="C113" i="2"/>
  <c r="E113" i="2"/>
  <c r="C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I461" i="1" s="1"/>
  <c r="H642" i="1" s="1"/>
  <c r="F460" i="1"/>
  <c r="G460" i="1"/>
  <c r="G461" i="1" s="1"/>
  <c r="H640" i="1" s="1"/>
  <c r="H460" i="1"/>
  <c r="I460" i="1"/>
  <c r="F461" i="1"/>
  <c r="H639" i="1" s="1"/>
  <c r="H461" i="1"/>
  <c r="F470" i="1"/>
  <c r="G470" i="1"/>
  <c r="H470" i="1"/>
  <c r="H476" i="1" s="1"/>
  <c r="H624" i="1" s="1"/>
  <c r="J624" i="1" s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5" i="1" s="1"/>
  <c r="L564" i="1"/>
  <c r="F565" i="1"/>
  <c r="G565" i="1"/>
  <c r="H565" i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H641" i="1"/>
  <c r="J641" i="1" s="1"/>
  <c r="G643" i="1"/>
  <c r="G644" i="1"/>
  <c r="G649" i="1"/>
  <c r="G650" i="1"/>
  <c r="G651" i="1"/>
  <c r="J651" i="1" s="1"/>
  <c r="G652" i="1"/>
  <c r="H652" i="1"/>
  <c r="G653" i="1"/>
  <c r="H653" i="1"/>
  <c r="G654" i="1"/>
  <c r="H654" i="1"/>
  <c r="H655" i="1"/>
  <c r="F192" i="1"/>
  <c r="G257" i="1"/>
  <c r="G271" i="1" s="1"/>
  <c r="L328" i="1"/>
  <c r="H660" i="1" s="1"/>
  <c r="A40" i="12"/>
  <c r="D18" i="13"/>
  <c r="C18" i="13" s="1"/>
  <c r="D7" i="13"/>
  <c r="C7" i="13" s="1"/>
  <c r="E8" i="13"/>
  <c r="C8" i="13" s="1"/>
  <c r="E103" i="2"/>
  <c r="D19" i="13"/>
  <c r="C19" i="13" s="1"/>
  <c r="J257" i="1"/>
  <c r="J271" i="1" s="1"/>
  <c r="F112" i="1"/>
  <c r="K605" i="1"/>
  <c r="G648" i="1" s="1"/>
  <c r="L419" i="1"/>
  <c r="H169" i="1"/>
  <c r="F476" i="1"/>
  <c r="H622" i="1" s="1"/>
  <c r="G476" i="1"/>
  <c r="H623" i="1" s="1"/>
  <c r="J623" i="1" s="1"/>
  <c r="G338" i="1"/>
  <c r="G352" i="1" s="1"/>
  <c r="F169" i="1"/>
  <c r="F571" i="1"/>
  <c r="K549" i="1"/>
  <c r="G22" i="2"/>
  <c r="H552" i="1"/>
  <c r="H140" i="1"/>
  <c r="L393" i="1"/>
  <c r="H25" i="13"/>
  <c r="C25" i="13" s="1"/>
  <c r="H571" i="1"/>
  <c r="J545" i="1"/>
  <c r="F338" i="1"/>
  <c r="F352" i="1" s="1"/>
  <c r="H192" i="1"/>
  <c r="C35" i="10"/>
  <c r="D5" i="13"/>
  <c r="C5" i="13" s="1"/>
  <c r="J655" i="1"/>
  <c r="I571" i="1"/>
  <c r="G36" i="2"/>
  <c r="G545" i="1"/>
  <c r="C138" i="2"/>
  <c r="L257" i="1" l="1"/>
  <c r="L271" i="1" s="1"/>
  <c r="G632" i="1" s="1"/>
  <c r="D81" i="2"/>
  <c r="L362" i="1"/>
  <c r="F22" i="13"/>
  <c r="C22" i="13" s="1"/>
  <c r="C29" i="10"/>
  <c r="H647" i="1"/>
  <c r="J647" i="1" s="1"/>
  <c r="G625" i="1"/>
  <c r="J625" i="1" s="1"/>
  <c r="L534" i="1"/>
  <c r="L545" i="1" s="1"/>
  <c r="K500" i="1"/>
  <c r="K257" i="1"/>
  <c r="K271" i="1" s="1"/>
  <c r="G164" i="2"/>
  <c r="D145" i="2"/>
  <c r="C125" i="2"/>
  <c r="E109" i="2"/>
  <c r="G81" i="2"/>
  <c r="F78" i="2"/>
  <c r="F81" i="2" s="1"/>
  <c r="F661" i="1"/>
  <c r="I661" i="1" s="1"/>
  <c r="C19" i="10"/>
  <c r="C15" i="10"/>
  <c r="G112" i="1"/>
  <c r="C36" i="10" s="1"/>
  <c r="D17" i="13"/>
  <c r="C17" i="13" s="1"/>
  <c r="E13" i="13"/>
  <c r="C13" i="13" s="1"/>
  <c r="H664" i="1"/>
  <c r="H408" i="1"/>
  <c r="H644" i="1" s="1"/>
  <c r="J644" i="1" s="1"/>
  <c r="F552" i="1"/>
  <c r="D15" i="13"/>
  <c r="C15" i="13" s="1"/>
  <c r="L544" i="1"/>
  <c r="I545" i="1"/>
  <c r="L524" i="1"/>
  <c r="J476" i="1"/>
  <c r="H626" i="1" s="1"/>
  <c r="J639" i="1"/>
  <c r="G408" i="1"/>
  <c r="H645" i="1" s="1"/>
  <c r="L382" i="1"/>
  <c r="G636" i="1" s="1"/>
  <c r="J636" i="1" s="1"/>
  <c r="K338" i="1"/>
  <c r="K352" i="1" s="1"/>
  <c r="I257" i="1"/>
  <c r="I271" i="1" s="1"/>
  <c r="H52" i="1"/>
  <c r="H619" i="1" s="1"/>
  <c r="C124" i="2"/>
  <c r="C120" i="2"/>
  <c r="C128" i="2" s="1"/>
  <c r="D91" i="2"/>
  <c r="E78" i="2"/>
  <c r="E81" i="2" s="1"/>
  <c r="E104" i="2" s="1"/>
  <c r="G62" i="2"/>
  <c r="C115" i="2"/>
  <c r="E62" i="2"/>
  <c r="E63" i="2" s="1"/>
  <c r="F18" i="2"/>
  <c r="G157" i="2"/>
  <c r="G156" i="2"/>
  <c r="D50" i="2"/>
  <c r="H545" i="1"/>
  <c r="K552" i="1"/>
  <c r="J649" i="1"/>
  <c r="E128" i="2"/>
  <c r="E115" i="2"/>
  <c r="D14" i="13"/>
  <c r="C14" i="13" s="1"/>
  <c r="D12" i="13"/>
  <c r="C12" i="13" s="1"/>
  <c r="F660" i="1"/>
  <c r="F664" i="1" s="1"/>
  <c r="F672" i="1" s="1"/>
  <c r="C4" i="10" s="1"/>
  <c r="D6" i="13"/>
  <c r="C6" i="13" s="1"/>
  <c r="H257" i="1"/>
  <c r="H271" i="1" s="1"/>
  <c r="A13" i="12"/>
  <c r="J640" i="1"/>
  <c r="D29" i="13"/>
  <c r="C29" i="13" s="1"/>
  <c r="G645" i="1"/>
  <c r="J645" i="1" s="1"/>
  <c r="C91" i="2"/>
  <c r="C78" i="2"/>
  <c r="C70" i="2"/>
  <c r="J622" i="1"/>
  <c r="J617" i="1"/>
  <c r="C18" i="2"/>
  <c r="E33" i="13"/>
  <c r="D35" i="13" s="1"/>
  <c r="C16" i="13"/>
  <c r="D63" i="2"/>
  <c r="C62" i="2"/>
  <c r="C63" i="2" s="1"/>
  <c r="H33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I663" i="1"/>
  <c r="C27" i="10"/>
  <c r="C28" i="10" s="1"/>
  <c r="G635" i="1"/>
  <c r="J635" i="1" s="1"/>
  <c r="F104" i="2" l="1"/>
  <c r="G51" i="2"/>
  <c r="D104" i="2"/>
  <c r="L408" i="1"/>
  <c r="C81" i="2"/>
  <c r="C104" i="2" s="1"/>
  <c r="G667" i="1"/>
  <c r="G104" i="2"/>
  <c r="E145" i="2"/>
  <c r="C145" i="2"/>
  <c r="F667" i="1"/>
  <c r="I660" i="1"/>
  <c r="I664" i="1" s="1"/>
  <c r="I672" i="1" s="1"/>
  <c r="C7" i="10" s="1"/>
  <c r="D31" i="13"/>
  <c r="C31" i="13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D33" i="13"/>
  <c r="D36" i="13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<sst xmlns="http://schemas.openxmlformats.org/spreadsheetml/2006/main" count="3955" uniqueCount="913">
  <si>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</si>
  <si>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</si>
  <si>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</si>
  <si>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</si>
  <si>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</si>
  <si>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</si>
  <si>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</si>
  <si>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</si>
  <si>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</si>
  <si>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</si>
  <si>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</si>
  <si>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</si>
  <si>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</si>
  <si>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</si>
  <si>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</si>
  <si>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</si>
  <si>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</si>
  <si>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</si>
  <si>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</si>
  <si>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</si>
  <si>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</si>
  <si>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</si>
  <si>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</si>
  <si>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</si>
  <si>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</si>
  <si>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</si>
  <si>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</si>
  <si>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</si>
  <si>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</si>
  <si>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</si>
  <si>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</si>
  <si>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</si>
  <si>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</si>
  <si>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</si>
  <si>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</si>
  <si>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</si>
  <si>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</si>
  <si>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</si>
  <si>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</si>
  <si>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</si>
  <si>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</si>
  <si>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</si>
  <si>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</si>
  <si>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</si>
  <si>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</si>
  <si>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</si>
  <si>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</si>
  <si>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</si>
  <si>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</si>
  <si>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</si>
  <si>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</si>
  <si>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</si>
  <si>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</si>
  <si>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</si>
  <si>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</si>
  <si>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</si>
  <si>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</si>
  <si>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</si>
  <si>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</si>
  <si>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</si>
  <si>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</si>
  <si>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</si>
  <si>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</si>
  <si>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</si>
  <si>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</si>
  <si>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</si>
  <si>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</si>
  <si>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</si>
  <si>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</si>
  <si>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</si>
  <si>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</si>
  <si>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</si>
  <si>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</si>
  <si>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</si>
  <si>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</si>
  <si>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</si>
  <si>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</si>
  <si>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</si>
  <si>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</si>
  <si>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</si>
  <si>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</si>
  <si>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</si>
  <si>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</si>
  <si>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</si>
  <si>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</si>
  <si>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</si>
  <si>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</si>
  <si>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</si>
  <si>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</si>
  <si>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</si>
  <si>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</si>
  <si>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</si>
  <si>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</si>
  <si>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</si>
  <si>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</si>
  <si>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</si>
  <si>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</si>
  <si>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</si>
  <si>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</si>
  <si>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</si>
  <si>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</si>
  <si>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</si>
  <si>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</si>
  <si>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</si>
  <si>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</si>
  <si>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</si>
  <si>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</si>
  <si>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</si>
  <si>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</si>
  <si>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</si>
  <si>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</si>
  <si>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</si>
  <si>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</si>
  <si>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</si>
  <si>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</si>
  <si>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</si>
  <si>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</si>
  <si>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</si>
  <si>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</si>
  <si>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</si>
  <si>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</si>
  <si>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</si>
  <si>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</si>
  <si>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</si>
  <si>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</si>
  <si>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</si>
  <si>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</si>
  <si>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</si>
  <si>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</si>
  <si>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</si>
  <si>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</si>
  <si>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</si>
  <si>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</si>
  <si>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</si>
  <si>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</si>
  <si>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</si>
  <si>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</si>
  <si>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</si>
  <si>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</si>
  <si>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</si>
  <si>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</si>
  <si>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</si>
  <si>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</si>
  <si>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</si>
  <si>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</si>
  <si>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</si>
  <si>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</si>
  <si>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</si>
  <si>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</si>
  <si>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</si>
  <si>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</si>
  <si>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</si>
  <si>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</si>
  <si>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</si>
  <si>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</si>
  <si>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</si>
  <si>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</si>
  <si>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</si>
  <si>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</si>
  <si>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</si>
  <si>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</si>
  <si>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</si>
  <si>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</si>
  <si>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</si>
  <si>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</si>
  <si>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</si>
  <si>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</si>
  <si>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</si>
  <si>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</si>
  <si>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</si>
  <si>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</si>
  <si>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</si>
  <si>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</si>
  <si>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</si>
  <si>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</si>
  <si>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</si>
  <si>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</si>
  <si>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</si>
  <si>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</si>
  <si>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</si>
  <si>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</si>
  <si>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</si>
  <si>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</si>
  <si>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</si>
  <si>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</si>
  <si>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</si>
  <si>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</si>
  <si>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</si>
  <si>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</si>
  <si>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</si>
  <si>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</si>
  <si>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</si>
  <si>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</si>
  <si>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</si>
  <si>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</si>
  <si>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</si>
  <si>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</si>
  <si>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</si>
  <si>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</si>
  <si>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</si>
  <si>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</si>
  <si>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</si>
  <si>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</si>
  <si>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</si>
  <si>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</si>
  <si>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</si>
  <si>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</si>
  <si>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</si>
  <si>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</si>
  <si>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</si>
  <si>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</si>
  <si>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</si>
  <si>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</si>
  <si>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</si>
  <si>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</si>
  <si>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</si>
  <si>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</si>
  <si>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</si>
  <si>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</si>
  <si>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</si>
  <si>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</si>
  <si>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</si>
  <si>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</si>
  <si>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</si>
  <si>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</si>
  <si>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</si>
  <si>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</si>
  <si>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</si>
  <si>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</si>
  <si>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</si>
  <si>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</si>
  <si>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</si>
  <si>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</si>
  <si>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</si>
  <si>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</si>
  <si>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</si>
  <si>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</si>
  <si>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</si>
  <si>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</si>
  <si>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</si>
  <si>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</si>
  <si>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</si>
  <si>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</si>
  <si>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</si>
  <si>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</si>
  <si>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</si>
  <si>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</si>
  <si>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</si>
  <si>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</si>
  <si>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</si>
  <si>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</si>
  <si>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</si>
  <si>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</si>
  <si>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</si>
  <si>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</si>
  <si>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</si>
  <si>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</si>
  <si>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</si>
  <si>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</si>
  <si>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</si>
  <si>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</si>
  <si>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</si>
  <si>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</si>
  <si>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</si>
  <si>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</si>
  <si>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</si>
  <si>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</si>
  <si>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</si>
  <si>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</si>
  <si>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</si>
  <si>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</si>
  <si>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</si>
  <si>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</si>
  <si>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</si>
  <si>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</si>
  <si>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</si>
  <si>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</si>
  <si>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</si>
  <si>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</si>
  <si>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</si>
  <si>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</si>
  <si>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</si>
  <si>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</si>
  <si>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</si>
  <si>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</si>
  <si>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</si>
  <si>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</si>
  <si>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</si>
  <si>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</si>
  <si>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</si>
  <si>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</si>
  <si>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</si>
  <si>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</si>
  <si>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</si>
  <si>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</si>
  <si>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</si>
  <si>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</si>
  <si>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</si>
  <si>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</si>
  <si>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</si>
  <si>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</si>
  <si>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</si>
  <si>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</si>
  <si>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</si>
  <si>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</si>
  <si>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</si>
  <si>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</si>
  <si>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</si>
  <si>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</si>
  <si>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</si>
  <si>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</si>
  <si>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</si>
  <si>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</si>
  <si>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</si>
  <si>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</si>
  <si>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</si>
  <si>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</si>
  <si>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</si>
  <si>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</si>
  <si>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</si>
  <si>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</si>
  <si>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</si>
  <si>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</si>
  <si>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</si>
  <si>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</si>
  <si>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</si>
  <si>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</si>
  <si>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</si>
  <si>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</si>
  <si>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</si>
  <si>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</si>
  <si>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</si>
  <si>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</si>
  <si>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</si>
  <si>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</si>
  <si>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</si>
  <si>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</si>
  <si>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</si>
  <si>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</si>
  <si>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</si>
  <si>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</si>
  <si>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</si>
  <si>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</si>
  <si>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</si>
  <si>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</si>
  <si>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</si>
  <si>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</si>
  <si>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</si>
  <si>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</si>
  <si>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</si>
  <si>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</si>
  <si>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</si>
  <si>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</si>
  <si>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</si>
  <si>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</si>
  <si>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</si>
  <si>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</si>
  <si>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</si>
  <si>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</si>
  <si>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</si>
  <si>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</si>
  <si>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</si>
  <si>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</si>
  <si>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</si>
  <si>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</si>
  <si>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</si>
  <si>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</si>
  <si>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</si>
  <si>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</si>
  <si>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</si>
  <si>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</si>
  <si>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</si>
  <si>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</si>
  <si>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</si>
  <si>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</si>
  <si>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</si>
  <si>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</si>
  <si>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</si>
  <si>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</si>
  <si>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</si>
  <si>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</si>
  <si>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</si>
  <si>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</si>
  <si>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</si>
  <si>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</si>
  <si>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</si>
  <si>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</si>
  <si>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</si>
  <si>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</si>
  <si>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</si>
  <si>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</si>
  <si>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</si>
  <si>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</si>
  <si>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</si>
  <si>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</si>
  <si>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</si>
  <si>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</si>
  <si>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</si>
  <si>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</si>
  <si>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</si>
  <si>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</si>
  <si>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</si>
  <si>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</si>
  <si>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</si>
  <si>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</si>
  <si>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</si>
  <si>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</si>
  <si>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</si>
  <si>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</si>
  <si>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</si>
  <si>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</si>
  <si>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</si>
  <si>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</si>
  <si>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</si>
  <si>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</si>
  <si>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</si>
  <si>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</si>
  <si>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</si>
  <si>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</si>
  <si>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</si>
  <si>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</si>
  <si>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</si>
  <si>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</si>
  <si>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</si>
  <si>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</si>
  <si>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</si>
  <si>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</si>
  <si>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</si>
  <si>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</si>
  <si>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</si>
  <si>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</si>
  <si>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</si>
  <si>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</si>
  <si>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</si>
  <si>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</si>
  <si>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</si>
  <si>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</si>
  <si>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</si>
  <si>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</si>
  <si>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</si>
  <si>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</si>
  <si>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</si>
  <si>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</si>
  <si>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</si>
  <si>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</si>
  <si>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</si>
  <si>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</si>
  <si>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</si>
  <si>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</si>
  <si>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</si>
  <si>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</si>
  <si>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</si>
  <si>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</si>
  <si>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</si>
  <si>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</si>
  <si>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</si>
  <si>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</si>
  <si>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</si>
  <si>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</si>
  <si>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</si>
  <si>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</si>
  <si>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</si>
  <si>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</si>
  <si>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</si>
  <si>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</si>
  <si>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</si>
  <si>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</si>
  <si>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</si>
  <si>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</si>
  <si>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</si>
  <si>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</si>
  <si>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</si>
  <si>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</si>
  <si>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</si>
  <si>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</si>
  <si>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</si>
  <si>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</si>
  <si>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</si>
  <si>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</si>
  <si>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</si>
  <si>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</si>
  <si>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</si>
  <si>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</si>
  <si>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</si>
  <si>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</si>
  <si>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</si>
  <si>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</si>
  <si>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</si>
  <si>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</si>
  <si>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</si>
  <si>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</si>
  <si>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</si>
  <si>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</si>
  <si>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</si>
  <si>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</si>
  <si>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</si>
  <si>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</si>
  <si>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</si>
  <si>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</si>
  <si>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</si>
  <si>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</si>
  <si>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</si>
  <si>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</si>
  <si>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</si>
  <si>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</si>
  <si>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</si>
  <si>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</si>
  <si>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</si>
  <si>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</si>
  <si>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</si>
  <si>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</si>
  <si>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</si>
  <si>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</si>
  <si>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</si>
  <si>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</si>
  <si>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</si>
  <si>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</si>
  <si>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</si>
  <si>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</si>
  <si>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</si>
  <si>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</si>
  <si>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</si>
  <si>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</si>
  <si>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</si>
  <si>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</si>
  <si>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</si>
  <si>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</si>
  <si>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</si>
  <si>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</si>
  <si>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</si>
  <si>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</si>
  <si>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</si>
  <si>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</si>
  <si>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</si>
  <si>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</si>
  <si>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</si>
  <si>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</si>
  <si>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</si>
  <si>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</si>
  <si>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</si>
  <si>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</si>
  <si>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</si>
  <si>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</si>
  <si>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</si>
  <si>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</si>
  <si>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</si>
  <si>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</si>
  <si>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</si>
  <si>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</si>
  <si>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</si>
  <si>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</si>
  <si>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</si>
  <si>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</si>
  <si>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</si>
  <si>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</si>
  <si>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</si>
  <si>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</si>
  <si>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</si>
  <si>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</si>
  <si>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</si>
  <si>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</si>
  <si>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</si>
  <si>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</si>
  <si>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</si>
  <si>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</si>
  <si>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</si>
  <si>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</si>
  <si>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</si>
  <si>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</si>
  <si>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</si>
  <si>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</si>
  <si>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</si>
  <si>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</si>
  <si>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</si>
  <si>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</si>
  <si>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</si>
  <si>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</si>
  <si>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</si>
  <si>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</si>
  <si>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</si>
  <si>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</si>
  <si>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</si>
  <si>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</si>
  <si>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</si>
  <si>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</si>
  <si>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</si>
  <si>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</si>
  <si>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</si>
  <si>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</si>
  <si>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</si>
  <si>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</si>
  <si>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</si>
  <si>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</si>
  <si>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</si>
  <si>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</si>
  <si>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</si>
  <si>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</si>
  <si>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</si>
  <si>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</si>
  <si>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</si>
  <si>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</si>
  <si>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</si>
  <si>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</si>
  <si>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</si>
  <si>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</si>
  <si>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</si>
  <si>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</si>
  <si>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</si>
  <si>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</si>
  <si>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</si>
  <si>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</si>
  <si>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</si>
  <si>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</si>
  <si>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</si>
  <si>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</si>
  <si>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</si>
  <si>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</si>
  <si>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</si>
  <si>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</si>
  <si>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</si>
  <si>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</si>
  <si>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</si>
  <si>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</si>
  <si>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</si>
  <si>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</si>
  <si>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</si>
  <si>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</si>
  <si>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</si>
  <si>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</si>
  <si>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</si>
  <si>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</si>
  <si>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</si>
  <si>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</si>
  <si>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</si>
  <si>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</si>
  <si>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</si>
  <si>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</si>
  <si>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</si>
  <si>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</si>
  <si>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</si>
  <si>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</si>
  <si>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</si>
  <si>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</si>
  <si>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</si>
  <si>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</si>
  <si>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</si>
  <si>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</si>
  <si>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</si>
  <si>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</si>
  <si>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</si>
  <si>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</si>
  <si>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</si>
  <si>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</si>
  <si>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</si>
  <si>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</si>
  <si>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</si>
  <si>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</si>
  <si>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</si>
  <si>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</si>
  <si>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</si>
  <si>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</si>
  <si>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</si>
  <si>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</si>
  <si>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</si>
  <si>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</si>
  <si>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</si>
  <si>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</si>
  <si>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</si>
  <si>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</si>
  <si>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</si>
  <si>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</si>
  <si>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</si>
  <si>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</si>
  <si>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</si>
  <si>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</si>
  <si>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</si>
  <si>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</si>
  <si>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</si>
  <si>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</si>
  <si>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</si>
  <si>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</si>
  <si>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</si>
  <si>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</si>
  <si>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</si>
  <si>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</si>
  <si>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</si>
  <si>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</si>
  <si>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</si>
  <si>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</si>
  <si>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</si>
  <si>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</si>
  <si>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</si>
  <si>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</si>
  <si>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</si>
  <si>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</si>
  <si>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</si>
  <si>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</si>
  <si>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</si>
  <si>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</si>
  <si>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</si>
  <si>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</si>
  <si>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</si>
  <si>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</si>
  <si>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</si>
  <si>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</si>
  <si>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</si>
  <si>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</si>
  <si>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</si>
  <si>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</si>
  <si>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</si>
  <si>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</si>
  <si>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</si>
  <si>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</si>
  <si>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</si>
  <si>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</si>
  <si>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</si>
  <si>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</si>
  <si>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</si>
  <si>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</si>
  <si>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</si>
  <si>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</si>
  <si>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</si>
  <si>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</si>
  <si>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</si>
  <si>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</si>
  <si>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</si>
  <si>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</si>
  <si>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</si>
  <si>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</si>
  <si>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</si>
  <si>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</si>
  <si>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</si>
  <si>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</si>
  <si>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</si>
  <si>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</si>
  <si>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</si>
  <si>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</si>
  <si>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</si>
  <si>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</si>
  <si>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</si>
  <si>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</si>
  <si>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</si>
  <si>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</si>
  <si>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</si>
  <si>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</si>
  <si>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</si>
  <si>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</si>
  <si>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</si>
  <si>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</si>
  <si>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</si>
  <si>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</si>
  <si>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</si>
  <si>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</si>
  <si>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</si>
  <si>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</si>
  <si>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</si>
  <si>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</si>
  <si>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</si>
  <si>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</si>
  <si>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</si>
  <si>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</si>
  <si>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</si>
  <si>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</si>
  <si>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</si>
  <si>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</si>
  <si>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</si>
  <si>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</si>
  <si>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</si>
  <si>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</si>
  <si>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</si>
  <si>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</si>
  <si>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</si>
  <si>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</si>
  <si>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</si>
  <si>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</si>
  <si>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</si>
  <si>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</si>
  <si>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</si>
  <si>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</si>
  <si>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</si>
  <si>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</si>
  <si>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</si>
  <si>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</si>
  <si>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</si>
  <si>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</si>
  <si>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</si>
  <si>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</si>
  <si>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</si>
  <si>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</si>
  <si>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</si>
  <si>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</si>
  <si>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</si>
  <si>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</si>
  <si>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</si>
  <si>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</si>
  <si>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</si>
  <si>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</si>
  <si>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</si>
  <si>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</si>
  <si>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</si>
  <si>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</si>
  <si>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</si>
  <si>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</si>
  <si>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</si>
  <si>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</si>
  <si>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</si>
  <si>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</si>
  <si>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</si>
  <si>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</si>
  <si>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</si>
  <si>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</si>
  <si>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</si>
  <si>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</si>
  <si>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</si>
  <si>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</si>
  <si>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</si>
  <si>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</si>
  <si>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</si>
  <si>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</si>
  <si>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</si>
  <si>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</si>
  <si>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</si>
  <si>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</si>
  <si>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</si>
  <si>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</si>
  <si>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</si>
  <si>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</si>
  <si>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</si>
  <si>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</si>
  <si>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</si>
  <si>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</si>
  <si>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</si>
  <si>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</si>
  <si>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</si>
  <si>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</si>
  <si>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</si>
  <si>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</si>
  <si>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</si>
  <si>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</si>
  <si>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</si>
  <si>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</si>
  <si>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</si>
  <si>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</si>
  <si>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</si>
  <si>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</si>
  <si>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</si>
  <si>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</si>
  <si>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</si>
  <si>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</si>
  <si>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</si>
  <si>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</si>
  <si>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</si>
  <si>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</si>
  <si>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</si>
  <si>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</si>
  <si>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</si>
  <si>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</si>
  <si>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</si>
  <si>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</si>
  <si>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</si>
  <si>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</si>
  <si>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</si>
  <si>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</si>
  <si>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</si>
  <si>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</si>
  <si>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</si>
  <si>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</si>
  <si>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</si>
  <si>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</si>
  <si>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</si>
  <si>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</si>
  <si>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</si>
  <si>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</si>
  <si>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</si>
  <si>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</si>
  <si>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</si>
  <si>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</si>
  <si>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</si>
  <si>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</si>
  <si>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</si>
  <si>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</si>
  <si>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</si>
  <si>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</si>
  <si>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</si>
  <si>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</si>
  <si>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</si>
  <si>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</si>
  <si>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</si>
  <si>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</si>
  <si>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</si>
  <si>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</si>
  <si>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</si>
  <si>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</si>
  <si>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</si>
  <si>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</si>
  <si>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</si>
  <si>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</si>
  <si>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</si>
  <si>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</si>
  <si>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</si>
  <si>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</si>
  <si>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</si>
  <si>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</si>
  <si>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</si>
  <si>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</si>
  <si>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</si>
  <si>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</si>
  <si>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</si>
  <si>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</si>
  <si>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</si>
  <si>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</si>
  <si>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Food Service payable of 91.31 not picked up in 2013 fund balance</t>
  </si>
  <si>
    <t>Candia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</si>
</sst>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10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79</v>
      </c>
      <c r="C2" s="21">
        <v>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812131.71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17842.53</v>
      </c>
      <c r="G12" s="18">
        <v>34129.25</v>
      </c>
      <c r="H12" s="18"/>
      <c r="I12" s="18"/>
      <c r="J12" s="67">
        <f>SUM(I441)</f>
        <v>469557.85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11981.4</v>
      </c>
      <c r="G13" s="18">
        <v>3416.2</v>
      </c>
      <c r="H13" s="18">
        <v>20046.64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62.5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842018.14</v>
      </c>
      <c r="G19" s="41">
        <f>SUM(G9:G18)</f>
        <v>37545.449999999997</v>
      </c>
      <c r="H19" s="41">
        <f>SUM(H9:H18)</f>
        <v>20046.64</v>
      </c>
      <c r="I19" s="41">
        <f>SUM(I9:I18)</f>
        <v>0</v>
      </c>
      <c r="J19" s="41">
        <f>SUM(J9:J18)</f>
        <v>469557.85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34129.25</v>
      </c>
      <c r="G22" s="18"/>
      <c r="H22" s="18">
        <v>16751.650000000001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249384.82</v>
      </c>
      <c r="G24" s="18">
        <v>2521.63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5356.93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3839.66</v>
      </c>
      <c r="H30" s="18">
        <v>3294.99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288871</v>
      </c>
      <c r="G32" s="41">
        <f>SUM(G22:G31)</f>
        <v>6361.29</v>
      </c>
      <c r="H32" s="41">
        <f>SUM(H22:H31)</f>
        <v>20046.64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174012</v>
      </c>
      <c r="G48" s="18">
        <v>31184.16</v>
      </c>
      <c r="H48" s="18"/>
      <c r="I48" s="18"/>
      <c r="J48" s="13">
        <f>SUM(I459)</f>
        <v>469557.85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137709.01999999999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211426.12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553147.14</v>
      </c>
      <c r="G51" s="41">
        <f>SUM(G35:G50)</f>
        <v>31184.16</v>
      </c>
      <c r="H51" s="41">
        <f>SUM(H35:H50)</f>
        <v>0</v>
      </c>
      <c r="I51" s="41">
        <f>SUM(I35:I50)</f>
        <v>0</v>
      </c>
      <c r="J51" s="41">
        <f>SUM(J35:J50)</f>
        <v>469557.85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842018.14</v>
      </c>
      <c r="G52" s="41">
        <f>G51+G32</f>
        <v>37545.449999999997</v>
      </c>
      <c r="H52" s="41">
        <f>H51+H32</f>
        <v>20046.64</v>
      </c>
      <c r="I52" s="41">
        <f>I51+I32</f>
        <v>0</v>
      </c>
      <c r="J52" s="41">
        <f>J51+J32</f>
        <v>469557.85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4905195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4905195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10298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10298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161.36000000000001</v>
      </c>
      <c r="G96" s="18"/>
      <c r="H96" s="18"/>
      <c r="I96" s="18"/>
      <c r="J96" s="18">
        <v>117.02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92832.92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1514.07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161.99+636.03</f>
        <v>798.02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1940.12</v>
      </c>
      <c r="G109" s="18">
        <v>739.87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256.39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3871.9399999999996</v>
      </c>
      <c r="G111" s="41">
        <f>SUM(G96:G110)</f>
        <v>93572.79</v>
      </c>
      <c r="H111" s="41">
        <f>SUM(H96:H110)</f>
        <v>798.02</v>
      </c>
      <c r="I111" s="41">
        <f>SUM(I96:I110)</f>
        <v>0</v>
      </c>
      <c r="J111" s="41">
        <f>SUM(J96:J110)</f>
        <v>117.02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4919364.9400000004</v>
      </c>
      <c r="G112" s="41">
        <f>G60+G111</f>
        <v>93572.79</v>
      </c>
      <c r="H112" s="41">
        <f>H60+H79+H94+H111</f>
        <v>798.02</v>
      </c>
      <c r="I112" s="41">
        <f>I60+I111</f>
        <v>0</v>
      </c>
      <c r="J112" s="41">
        <f>J60+J111</f>
        <v>117.02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1318598.26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984080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2302678.2599999998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43811.55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2020.6+91.08</f>
        <v>2111.6799999999998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43811.55</v>
      </c>
      <c r="G136" s="41">
        <f>SUM(G123:G135)</f>
        <v>2111.6799999999998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2346489.8099999996</v>
      </c>
      <c r="G140" s="41">
        <f>G121+SUM(G136:G137)</f>
        <v>2111.6799999999998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768.77+40805.08</f>
        <v>41573.85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6385.84+20384.84+4668.1</f>
        <v>31438.78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34185.17+4979.82+3085.18</f>
        <v>42250.17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2921.3+47.14+79325.16</f>
        <v>82293.600000000006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50813.69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50813.69</v>
      </c>
      <c r="G162" s="41">
        <f>SUM(G150:G161)</f>
        <v>42250.17</v>
      </c>
      <c r="H162" s="41">
        <f>SUM(H150:H161)</f>
        <v>155306.23000000001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50813.69</v>
      </c>
      <c r="G169" s="41">
        <f>G147+G162+SUM(G163:G168)</f>
        <v>42250.17</v>
      </c>
      <c r="H169" s="41">
        <f>H147+H162+SUM(H163:H168)</f>
        <v>155306.23000000001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62500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62500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62500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7316668.4400000004</v>
      </c>
      <c r="G193" s="47">
        <f>G112+G140+G169+G192</f>
        <v>137934.63999999998</v>
      </c>
      <c r="H193" s="47">
        <f>H112+H140+H169+H192</f>
        <v>156104.25</v>
      </c>
      <c r="I193" s="47">
        <f>I112+I140+I169+I192</f>
        <v>0</v>
      </c>
      <c r="J193" s="47">
        <f>J112+J140+J192</f>
        <v>62617.02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1439114.11</v>
      </c>
      <c r="G197" s="18">
        <v>657117.16</v>
      </c>
      <c r="H197" s="18">
        <v>10405.9</v>
      </c>
      <c r="I197" s="18">
        <v>33368.17</v>
      </c>
      <c r="J197" s="18">
        <v>4524.7299999999996</v>
      </c>
      <c r="K197" s="18"/>
      <c r="L197" s="19">
        <f>SUM(F197:K197)</f>
        <v>2144530.0699999998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393854.88+5983+60823</f>
        <v>460660.88</v>
      </c>
      <c r="G198" s="18">
        <f>133540.15+856.68+29389.66</f>
        <v>163786.49</v>
      </c>
      <c r="H198" s="18">
        <f>124041.81+9714.5+1120</f>
        <v>134876.31</v>
      </c>
      <c r="I198" s="18">
        <f>100+440.91</f>
        <v>540.91000000000008</v>
      </c>
      <c r="J198" s="18">
        <v>1434</v>
      </c>
      <c r="K198" s="18">
        <v>655</v>
      </c>
      <c r="L198" s="19">
        <f>SUM(F198:K198)</f>
        <v>761953.59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8820+15600</f>
        <v>24420</v>
      </c>
      <c r="G200" s="18">
        <f>1634.89+2119.5</f>
        <v>3754.3900000000003</v>
      </c>
      <c r="H200" s="18">
        <v>9769.32</v>
      </c>
      <c r="I200" s="18">
        <v>3845.81</v>
      </c>
      <c r="J200" s="18">
        <v>878</v>
      </c>
      <c r="K200" s="18">
        <f>207.5+370</f>
        <v>577.5</v>
      </c>
      <c r="L200" s="19">
        <f>SUM(F200:K200)</f>
        <v>43245.02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63192+34721+73079.94+19378.1</f>
        <v>190371.04</v>
      </c>
      <c r="G202" s="18">
        <f>23269.77+29560.48+8897.93</f>
        <v>61728.18</v>
      </c>
      <c r="H202" s="18">
        <f>6530.56+3760.75+250.22+72501+484.32+1534+80659.5+60+235</f>
        <v>166015.35</v>
      </c>
      <c r="I202" s="18">
        <f>717.54+890.67+274.7+831.55</f>
        <v>2714.46</v>
      </c>
      <c r="J202" s="18"/>
      <c r="K202" s="18">
        <f>35+1357.2</f>
        <v>1392.2</v>
      </c>
      <c r="L202" s="19">
        <f t="shared" ref="L202:L208" si="0">SUM(F202:K202)</f>
        <v>422221.23000000004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1200+46173.93</f>
        <v>47373.93</v>
      </c>
      <c r="G203" s="18">
        <f>3248.73+19461.05</f>
        <v>22709.78</v>
      </c>
      <c r="H203" s="18">
        <v>2578.33</v>
      </c>
      <c r="I203" s="18">
        <v>10105.15</v>
      </c>
      <c r="J203" s="18"/>
      <c r="K203" s="18"/>
      <c r="L203" s="19">
        <f t="shared" si="0"/>
        <v>82767.189999999988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6175</v>
      </c>
      <c r="G204" s="18">
        <v>499.28</v>
      </c>
      <c r="H204" s="18">
        <f>47080.54+144426</f>
        <v>191506.54</v>
      </c>
      <c r="I204" s="18">
        <v>2907.63</v>
      </c>
      <c r="J204" s="18">
        <v>199.99</v>
      </c>
      <c r="K204" s="18">
        <v>5829.5</v>
      </c>
      <c r="L204" s="19">
        <f t="shared" si="0"/>
        <v>207117.94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202763.22</v>
      </c>
      <c r="G205" s="18">
        <v>118018.58</v>
      </c>
      <c r="H205" s="18">
        <f>4414.38+9262</f>
        <v>13676.380000000001</v>
      </c>
      <c r="I205" s="18">
        <v>562.94000000000005</v>
      </c>
      <c r="J205" s="18">
        <v>915</v>
      </c>
      <c r="K205" s="18">
        <v>1725</v>
      </c>
      <c r="L205" s="19">
        <f t="shared" si="0"/>
        <v>337661.12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99076.57</v>
      </c>
      <c r="G207" s="18">
        <v>56908.5</v>
      </c>
      <c r="H207" s="18">
        <f>43372.14+186229.77+14029.56</f>
        <v>243631.46999999997</v>
      </c>
      <c r="I207" s="18">
        <v>117340.61</v>
      </c>
      <c r="J207" s="18"/>
      <c r="K207" s="18"/>
      <c r="L207" s="19">
        <f t="shared" si="0"/>
        <v>516957.14999999997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327319.51+10885.11+4780.87</f>
        <v>342985.49</v>
      </c>
      <c r="I208" s="18"/>
      <c r="J208" s="18"/>
      <c r="K208" s="18"/>
      <c r="L208" s="19">
        <f t="shared" si="0"/>
        <v>342985.49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54000</v>
      </c>
      <c r="G209" s="18">
        <v>18904.22</v>
      </c>
      <c r="H209" s="18">
        <v>125.34</v>
      </c>
      <c r="I209" s="18">
        <v>8190.53</v>
      </c>
      <c r="J209" s="18">
        <v>699</v>
      </c>
      <c r="K209" s="18"/>
      <c r="L209" s="19">
        <f>SUM(F209:K209)</f>
        <v>81919.09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2523954.7500000005</v>
      </c>
      <c r="G211" s="41">
        <f t="shared" si="1"/>
        <v>1103426.58</v>
      </c>
      <c r="H211" s="41">
        <f t="shared" si="1"/>
        <v>1115570.43</v>
      </c>
      <c r="I211" s="41">
        <f t="shared" si="1"/>
        <v>179576.21</v>
      </c>
      <c r="J211" s="41">
        <f t="shared" si="1"/>
        <v>8650.7199999999993</v>
      </c>
      <c r="K211" s="41">
        <f t="shared" si="1"/>
        <v>10179.200000000001</v>
      </c>
      <c r="L211" s="41">
        <f t="shared" si="1"/>
        <v>4941357.8899999997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4725</v>
      </c>
      <c r="I216" s="18"/>
      <c r="J216" s="18"/>
      <c r="K216" s="18"/>
      <c r="L216" s="19">
        <f>SUM(F216:K216)</f>
        <v>4725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4725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4725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1380999.86</v>
      </c>
      <c r="I233" s="18"/>
      <c r="J233" s="18"/>
      <c r="K233" s="18"/>
      <c r="L233" s="19">
        <f>SUM(F233:K233)</f>
        <v>1380999.86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736941.24+9178.95</f>
        <v>746120.19</v>
      </c>
      <c r="I234" s="18"/>
      <c r="J234" s="18"/>
      <c r="K234" s="18"/>
      <c r="L234" s="19">
        <f>SUM(F234:K234)</f>
        <v>746120.19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124108.43</v>
      </c>
      <c r="I244" s="18"/>
      <c r="J244" s="18"/>
      <c r="K244" s="18"/>
      <c r="L244" s="19">
        <f t="shared" si="4"/>
        <v>124108.43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2251228.48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2251228.48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2523954.7500000005</v>
      </c>
      <c r="G257" s="41">
        <f t="shared" si="8"/>
        <v>1103426.58</v>
      </c>
      <c r="H257" s="41">
        <f t="shared" si="8"/>
        <v>3371523.91</v>
      </c>
      <c r="I257" s="41">
        <f t="shared" si="8"/>
        <v>179576.21</v>
      </c>
      <c r="J257" s="41">
        <f t="shared" si="8"/>
        <v>8650.7199999999993</v>
      </c>
      <c r="K257" s="41">
        <f t="shared" si="8"/>
        <v>10179.200000000001</v>
      </c>
      <c r="L257" s="41">
        <f t="shared" si="8"/>
        <v>7197311.3699999992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62500</v>
      </c>
      <c r="L266" s="19">
        <f t="shared" si="9"/>
        <v>62500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62500</v>
      </c>
      <c r="L270" s="41">
        <f t="shared" si="9"/>
        <v>62500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2523954.7500000005</v>
      </c>
      <c r="G271" s="42">
        <f t="shared" si="11"/>
        <v>1103426.58</v>
      </c>
      <c r="H271" s="42">
        <f t="shared" si="11"/>
        <v>3371523.91</v>
      </c>
      <c r="I271" s="42">
        <f t="shared" si="11"/>
        <v>179576.21</v>
      </c>
      <c r="J271" s="42">
        <f t="shared" si="11"/>
        <v>8650.7199999999993</v>
      </c>
      <c r="K271" s="42">
        <f t="shared" si="11"/>
        <v>72679.199999999997</v>
      </c>
      <c r="L271" s="42">
        <f t="shared" si="11"/>
        <v>7259811.3699999992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27411.93</v>
      </c>
      <c r="G276" s="18">
        <v>5770.02</v>
      </c>
      <c r="H276" s="18"/>
      <c r="I276" s="18">
        <v>2473.5</v>
      </c>
      <c r="J276" s="18"/>
      <c r="K276" s="18"/>
      <c r="L276" s="19">
        <f>SUM(F276:K276)</f>
        <v>35655.449999999997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53917</v>
      </c>
      <c r="G277" s="18">
        <v>4124.76</v>
      </c>
      <c r="H277" s="18">
        <v>95</v>
      </c>
      <c r="I277" s="18">
        <v>3915.39</v>
      </c>
      <c r="J277" s="18"/>
      <c r="K277" s="18"/>
      <c r="L277" s="19">
        <f>SUM(F277:K277)</f>
        <v>62052.15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6570</v>
      </c>
      <c r="J281" s="18"/>
      <c r="K281" s="18"/>
      <c r="L281" s="19">
        <f t="shared" ref="L281:L287" si="12">SUM(F281:K281)</f>
        <v>6570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525</v>
      </c>
      <c r="G282" s="18">
        <v>114.5</v>
      </c>
      <c r="H282" s="18">
        <f>31937.26+1333.36+7000</f>
        <v>40270.619999999995</v>
      </c>
      <c r="I282" s="18">
        <v>3803.24</v>
      </c>
      <c r="J282" s="18"/>
      <c r="K282" s="18"/>
      <c r="L282" s="19">
        <f t="shared" si="12"/>
        <v>44713.359999999993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6477.26</v>
      </c>
      <c r="L285" s="19">
        <f t="shared" si="12"/>
        <v>6477.26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636.03</v>
      </c>
      <c r="J286" s="18"/>
      <c r="K286" s="18"/>
      <c r="L286" s="19">
        <f t="shared" si="12"/>
        <v>636.03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81853.929999999993</v>
      </c>
      <c r="G290" s="42">
        <f t="shared" si="13"/>
        <v>10009.280000000001</v>
      </c>
      <c r="H290" s="42">
        <f t="shared" si="13"/>
        <v>40365.619999999995</v>
      </c>
      <c r="I290" s="42">
        <f t="shared" si="13"/>
        <v>17398.159999999996</v>
      </c>
      <c r="J290" s="42">
        <f t="shared" si="13"/>
        <v>0</v>
      </c>
      <c r="K290" s="42">
        <f t="shared" si="13"/>
        <v>6477.26</v>
      </c>
      <c r="L290" s="41">
        <f t="shared" si="13"/>
        <v>156104.25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81853.929999999993</v>
      </c>
      <c r="G338" s="41">
        <f t="shared" si="20"/>
        <v>10009.280000000001</v>
      </c>
      <c r="H338" s="41">
        <f t="shared" si="20"/>
        <v>40365.619999999995</v>
      </c>
      <c r="I338" s="41">
        <f t="shared" si="20"/>
        <v>17398.159999999996</v>
      </c>
      <c r="J338" s="41">
        <f t="shared" si="20"/>
        <v>0</v>
      </c>
      <c r="K338" s="41">
        <f t="shared" si="20"/>
        <v>6477.26</v>
      </c>
      <c r="L338" s="41">
        <f t="shared" si="20"/>
        <v>156104.25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81853.929999999993</v>
      </c>
      <c r="G352" s="41">
        <f>G338</f>
        <v>10009.280000000001</v>
      </c>
      <c r="H352" s="41">
        <f>H338</f>
        <v>40365.619999999995</v>
      </c>
      <c r="I352" s="41">
        <f>I338</f>
        <v>17398.159999999996</v>
      </c>
      <c r="J352" s="41">
        <f>J338</f>
        <v>0</v>
      </c>
      <c r="K352" s="47">
        <f>K338+K351</f>
        <v>6477.26</v>
      </c>
      <c r="L352" s="41">
        <f>L338+L351</f>
        <v>156104.25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52378</v>
      </c>
      <c r="G358" s="18">
        <f>3915+283.84+44.98+68.04+4007.23+2724.92+203.05+196.77+1182.67</f>
        <v>12626.5</v>
      </c>
      <c r="H358" s="18">
        <f>2173.12+525.04+129.92</f>
        <v>2828.08</v>
      </c>
      <c r="I358" s="18">
        <f>5070.7+57327.39+4979.82+15.3</f>
        <v>67393.210000000006</v>
      </c>
      <c r="J358" s="18"/>
      <c r="K358" s="18"/>
      <c r="L358" s="13">
        <f>SUM(F358:K358)</f>
        <v>135225.79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52378</v>
      </c>
      <c r="G362" s="47">
        <f t="shared" si="22"/>
        <v>12626.5</v>
      </c>
      <c r="H362" s="47">
        <f t="shared" si="22"/>
        <v>2828.08</v>
      </c>
      <c r="I362" s="47">
        <f t="shared" si="22"/>
        <v>67393.210000000006</v>
      </c>
      <c r="J362" s="47">
        <f t="shared" si="22"/>
        <v>0</v>
      </c>
      <c r="K362" s="47">
        <f t="shared" si="22"/>
        <v>0</v>
      </c>
      <c r="L362" s="47">
        <f t="shared" si="22"/>
        <v>135225.79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57327.39+4979.82</f>
        <v>62307.21</v>
      </c>
      <c r="G367" s="18"/>
      <c r="H367" s="18"/>
      <c r="I367" s="56">
        <f>SUM(F367:H367)</f>
        <v>62307.21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5070.7+15.3</f>
        <v>5086</v>
      </c>
      <c r="G368" s="63"/>
      <c r="H368" s="63"/>
      <c r="I368" s="56">
        <f>SUM(F368:H368)</f>
        <v>5086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67393.209999999992</v>
      </c>
      <c r="G369" s="47">
        <f>SUM(G367:G368)</f>
        <v>0</v>
      </c>
      <c r="H369" s="47">
        <f>SUM(H367:H368)</f>
        <v>0</v>
      </c>
      <c r="I369" s="47">
        <f>SUM(I367:I368)</f>
        <v>67393.209999999992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</v>
      </c>
      <c r="H389" s="18">
        <v>66.77</v>
      </c>
      <c r="I389" s="18"/>
      <c r="J389" s="24" t="s">
        <v>289</v>
      </c>
      <c r="K389" s="24" t="s">
        <v>289</v>
      </c>
      <c r="L389" s="56">
        <f t="shared" si="25"/>
        <v>50066.77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66.77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50066.77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16.87</v>
      </c>
      <c r="I396" s="18"/>
      <c r="J396" s="24" t="s">
        <v>289</v>
      </c>
      <c r="K396" s="24" t="s">
        <v>289</v>
      </c>
      <c r="L396" s="56">
        <f t="shared" si="26"/>
        <v>16.87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28.91</v>
      </c>
      <c r="I397" s="18"/>
      <c r="J397" s="24" t="s">
        <v>289</v>
      </c>
      <c r="K397" s="24" t="s">
        <v>289</v>
      </c>
      <c r="L397" s="56">
        <f t="shared" si="26"/>
        <v>28.91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12500</v>
      </c>
      <c r="H399" s="18">
        <v>3.7</v>
      </c>
      <c r="I399" s="18"/>
      <c r="J399" s="24" t="s">
        <v>289</v>
      </c>
      <c r="K399" s="24" t="s">
        <v>289</v>
      </c>
      <c r="L399" s="56">
        <f t="shared" si="26"/>
        <v>12503.7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0.77</v>
      </c>
      <c r="I400" s="18"/>
      <c r="J400" s="24" t="s">
        <v>289</v>
      </c>
      <c r="K400" s="24" t="s">
        <v>289</v>
      </c>
      <c r="L400" s="56">
        <f t="shared" si="26"/>
        <v>0.77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</v>
      </c>
      <c r="H401" s="47">
        <f>SUM(H395:H400)</f>
        <v>50.250000000000007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12550.250000000002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62500</v>
      </c>
      <c r="H408" s="47">
        <f>H393+H401+H407</f>
        <v>117.02000000000001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62617.02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>
        <v>1560</v>
      </c>
      <c r="I425" s="18">
        <f>1800+1994.93</f>
        <v>3794.9300000000003</v>
      </c>
      <c r="J425" s="18">
        <f>2770+11718.52</f>
        <v>14488.52</v>
      </c>
      <c r="K425" s="18"/>
      <c r="L425" s="56">
        <f t="shared" si="29"/>
        <v>19843.45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>
        <v>15020.33</v>
      </c>
      <c r="J426" s="18"/>
      <c r="K426" s="18"/>
      <c r="L426" s="56">
        <f t="shared" si="29"/>
        <v>15020.33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1560</v>
      </c>
      <c r="I427" s="47">
        <f t="shared" si="30"/>
        <v>18815.260000000002</v>
      </c>
      <c r="J427" s="47">
        <f t="shared" si="30"/>
        <v>14488.52</v>
      </c>
      <c r="K427" s="47">
        <f t="shared" si="30"/>
        <v>0</v>
      </c>
      <c r="L427" s="47">
        <f t="shared" si="30"/>
        <v>34863.78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1560</v>
      </c>
      <c r="I434" s="47">
        <f t="shared" si="32"/>
        <v>18815.260000000002</v>
      </c>
      <c r="J434" s="47">
        <f t="shared" si="32"/>
        <v>14488.52</v>
      </c>
      <c r="K434" s="47">
        <f t="shared" si="32"/>
        <v>0</v>
      </c>
      <c r="L434" s="47">
        <f t="shared" si="32"/>
        <v>34863.78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281661.27</v>
      </c>
      <c r="G441" s="18">
        <v>187896.58</v>
      </c>
      <c r="H441" s="18"/>
      <c r="I441" s="56">
        <f t="shared" si="33"/>
        <v>469557.85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281661.27</v>
      </c>
      <c r="G446" s="13">
        <f>SUM(G439:G445)</f>
        <v>187896.58</v>
      </c>
      <c r="H446" s="13">
        <f>SUM(H439:H445)</f>
        <v>0</v>
      </c>
      <c r="I446" s="13">
        <f>SUM(I439:I445)</f>
        <v>469557.85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281661.27</v>
      </c>
      <c r="G459" s="18">
        <v>187896.58</v>
      </c>
      <c r="H459" s="18"/>
      <c r="I459" s="56">
        <f t="shared" si="34"/>
        <v>469557.85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281661.27</v>
      </c>
      <c r="G460" s="83">
        <f>SUM(G454:G459)</f>
        <v>187896.58</v>
      </c>
      <c r="H460" s="83">
        <f>SUM(H454:H459)</f>
        <v>0</v>
      </c>
      <c r="I460" s="83">
        <f>SUM(I454:I459)</f>
        <v>469557.85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281661.27</v>
      </c>
      <c r="G461" s="42">
        <f>G452+G460</f>
        <v>187896.58</v>
      </c>
      <c r="H461" s="42">
        <f>H452+H460</f>
        <v>0</v>
      </c>
      <c r="I461" s="42">
        <f>I452+I460</f>
        <v>469557.85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496290.07</v>
      </c>
      <c r="G465" s="18">
        <v>28566.62</v>
      </c>
      <c r="H465" s="18"/>
      <c r="I465" s="18"/>
      <c r="J465" s="18">
        <v>441804.61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7316668.4400000004</v>
      </c>
      <c r="G468" s="18">
        <v>137934.64000000001</v>
      </c>
      <c r="H468" s="18">
        <v>156104.25</v>
      </c>
      <c r="I468" s="18"/>
      <c r="J468" s="18">
        <v>62617.02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7316668.4400000004</v>
      </c>
      <c r="G470" s="53">
        <f>SUM(G468:G469)</f>
        <v>137934.64000000001</v>
      </c>
      <c r="H470" s="53">
        <f>SUM(H468:H469)</f>
        <v>156104.25</v>
      </c>
      <c r="I470" s="53">
        <f>SUM(I468:I469)</f>
        <v>0</v>
      </c>
      <c r="J470" s="53">
        <f>SUM(J468:J469)</f>
        <v>62617.02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7259811.3700000001</v>
      </c>
      <c r="G472" s="18">
        <v>135225.79</v>
      </c>
      <c r="H472" s="18">
        <v>156104.25</v>
      </c>
      <c r="I472" s="18"/>
      <c r="J472" s="18">
        <v>34863.78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91.31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7259811.3700000001</v>
      </c>
      <c r="G474" s="53">
        <f>SUM(G472:G473)</f>
        <v>135317.1</v>
      </c>
      <c r="H474" s="53">
        <f>SUM(H472:H473)</f>
        <v>156104.25</v>
      </c>
      <c r="I474" s="53">
        <f>SUM(I472:I473)</f>
        <v>0</v>
      </c>
      <c r="J474" s="53">
        <f>SUM(J472:J473)</f>
        <v>34863.78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553147.1400000006</v>
      </c>
      <c r="G476" s="53">
        <f>(G465+G470)- G474</f>
        <v>31184.160000000003</v>
      </c>
      <c r="H476" s="53">
        <f>(H465+H470)- H474</f>
        <v>0</v>
      </c>
      <c r="I476" s="53">
        <f>(I465+I470)- I474</f>
        <v>0</v>
      </c>
      <c r="J476" s="53">
        <f>(J465+J470)- J474</f>
        <v>469557.85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5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911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411761.7</v>
      </c>
      <c r="G521" s="18">
        <v>119849.36</v>
      </c>
      <c r="H521" s="18">
        <f>41448.72+84807.2+1120</f>
        <v>127375.92</v>
      </c>
      <c r="I521" s="18">
        <v>4456.3</v>
      </c>
      <c r="J521" s="18">
        <v>1434</v>
      </c>
      <c r="K521" s="18"/>
      <c r="L521" s="88">
        <f>SUM(F521:K521)</f>
        <v>664877.28000000014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4725</v>
      </c>
      <c r="I522" s="18"/>
      <c r="J522" s="18"/>
      <c r="K522" s="18"/>
      <c r="L522" s="88">
        <f>SUM(F522:K522)</f>
        <v>4725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746120.19</v>
      </c>
      <c r="I523" s="18"/>
      <c r="J523" s="18"/>
      <c r="K523" s="18"/>
      <c r="L523" s="88">
        <f>SUM(F523:K523)</f>
        <v>746120.19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411761.7</v>
      </c>
      <c r="G524" s="108">
        <f t="shared" ref="G524:L524" si="36">SUM(G521:G523)</f>
        <v>119849.36</v>
      </c>
      <c r="H524" s="108">
        <f t="shared" si="36"/>
        <v>878221.10999999987</v>
      </c>
      <c r="I524" s="108">
        <f t="shared" si="36"/>
        <v>4456.3</v>
      </c>
      <c r="J524" s="108">
        <f t="shared" si="36"/>
        <v>1434</v>
      </c>
      <c r="K524" s="108">
        <f t="shared" si="36"/>
        <v>0</v>
      </c>
      <c r="L524" s="89">
        <f t="shared" si="36"/>
        <v>1415722.4700000002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19378.099999999999</v>
      </c>
      <c r="G526" s="18">
        <v>8897.93</v>
      </c>
      <c r="H526" s="18">
        <v>238917.69</v>
      </c>
      <c r="I526" s="18">
        <v>1165.3699999999999</v>
      </c>
      <c r="J526" s="18"/>
      <c r="K526" s="18"/>
      <c r="L526" s="88">
        <f>SUM(F526:K526)</f>
        <v>268359.08999999997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19378.099999999999</v>
      </c>
      <c r="G529" s="89">
        <f t="shared" ref="G529:L529" si="37">SUM(G526:G528)</f>
        <v>8897.93</v>
      </c>
      <c r="H529" s="89">
        <f t="shared" si="37"/>
        <v>238917.69</v>
      </c>
      <c r="I529" s="89">
        <f t="shared" si="37"/>
        <v>1165.3699999999999</v>
      </c>
      <c r="J529" s="89">
        <f t="shared" si="37"/>
        <v>0</v>
      </c>
      <c r="K529" s="89">
        <f t="shared" si="37"/>
        <v>0</v>
      </c>
      <c r="L529" s="89">
        <f t="shared" si="37"/>
        <v>268359.08999999997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102816.18</v>
      </c>
      <c r="G531" s="18">
        <v>48061.89</v>
      </c>
      <c r="H531" s="18">
        <f>213.54+3292.92</f>
        <v>3506.46</v>
      </c>
      <c r="I531" s="18"/>
      <c r="J531" s="18"/>
      <c r="K531" s="18">
        <v>655</v>
      </c>
      <c r="L531" s="88">
        <f>SUM(F531:K531)</f>
        <v>155039.53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102816.18</v>
      </c>
      <c r="G534" s="89">
        <f t="shared" ref="G534:L534" si="38">SUM(G531:G533)</f>
        <v>48061.89</v>
      </c>
      <c r="H534" s="89">
        <f t="shared" si="38"/>
        <v>3506.46</v>
      </c>
      <c r="I534" s="89">
        <f t="shared" si="38"/>
        <v>0</v>
      </c>
      <c r="J534" s="89">
        <f t="shared" si="38"/>
        <v>0</v>
      </c>
      <c r="K534" s="89">
        <f t="shared" si="38"/>
        <v>655</v>
      </c>
      <c r="L534" s="89">
        <f t="shared" si="38"/>
        <v>155039.53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148346.35999999999</v>
      </c>
      <c r="I541" s="18"/>
      <c r="J541" s="18"/>
      <c r="K541" s="18"/>
      <c r="L541" s="88">
        <f>SUM(F541:K541)</f>
        <v>148346.35999999999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61810.99</v>
      </c>
      <c r="I543" s="18"/>
      <c r="J543" s="18"/>
      <c r="K543" s="18"/>
      <c r="L543" s="88">
        <f>SUM(F543:K543)</f>
        <v>61810.99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210157.34999999998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210157.34999999998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533955.98</v>
      </c>
      <c r="G545" s="89">
        <f t="shared" ref="G545:L545" si="41">G524+G529+G534+G539+G544</f>
        <v>176809.18</v>
      </c>
      <c r="H545" s="89">
        <f t="shared" si="41"/>
        <v>1330802.6099999999</v>
      </c>
      <c r="I545" s="89">
        <f t="shared" si="41"/>
        <v>5621.67</v>
      </c>
      <c r="J545" s="89">
        <f t="shared" si="41"/>
        <v>1434</v>
      </c>
      <c r="K545" s="89">
        <f t="shared" si="41"/>
        <v>655</v>
      </c>
      <c r="L545" s="89">
        <f t="shared" si="41"/>
        <v>2049278.44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664877.28000000014</v>
      </c>
      <c r="G549" s="87">
        <f>L526</f>
        <v>268359.08999999997</v>
      </c>
      <c r="H549" s="87">
        <f>L531</f>
        <v>155039.53</v>
      </c>
      <c r="I549" s="87">
        <f>L536</f>
        <v>0</v>
      </c>
      <c r="J549" s="87">
        <f>L541</f>
        <v>148346.35999999999</v>
      </c>
      <c r="K549" s="87">
        <f>SUM(F549:J549)</f>
        <v>1236622.2600000002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4725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4725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746120.19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61810.99</v>
      </c>
      <c r="K551" s="87">
        <f>SUM(F551:J551)</f>
        <v>807931.17999999993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1415722.4700000002</v>
      </c>
      <c r="G552" s="89">
        <f t="shared" si="42"/>
        <v>268359.08999999997</v>
      </c>
      <c r="H552" s="89">
        <f t="shared" si="42"/>
        <v>155039.53</v>
      </c>
      <c r="I552" s="89">
        <f t="shared" si="42"/>
        <v>0</v>
      </c>
      <c r="J552" s="89">
        <f t="shared" si="42"/>
        <v>210157.34999999998</v>
      </c>
      <c r="K552" s="89">
        <f t="shared" si="42"/>
        <v>2049278.4400000002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60823</v>
      </c>
      <c r="G567" s="18">
        <v>29389.66</v>
      </c>
      <c r="H567" s="18"/>
      <c r="I567" s="18">
        <v>440.91</v>
      </c>
      <c r="J567" s="18"/>
      <c r="K567" s="18"/>
      <c r="L567" s="88">
        <f>SUM(F567:K567)</f>
        <v>90653.57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60823</v>
      </c>
      <c r="G570" s="193">
        <f t="shared" ref="G570:L570" si="45">SUM(G567:G569)</f>
        <v>29389.66</v>
      </c>
      <c r="H570" s="193">
        <f t="shared" si="45"/>
        <v>0</v>
      </c>
      <c r="I570" s="193">
        <f t="shared" si="45"/>
        <v>440.91</v>
      </c>
      <c r="J570" s="193">
        <f t="shared" si="45"/>
        <v>0</v>
      </c>
      <c r="K570" s="193">
        <f t="shared" si="45"/>
        <v>0</v>
      </c>
      <c r="L570" s="193">
        <f t="shared" si="45"/>
        <v>90653.57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60823</v>
      </c>
      <c r="G571" s="89">
        <f t="shared" ref="G571:L571" si="46">G560+G565+G570</f>
        <v>29389.66</v>
      </c>
      <c r="H571" s="89">
        <f t="shared" si="46"/>
        <v>0</v>
      </c>
      <c r="I571" s="89">
        <f t="shared" si="46"/>
        <v>440.91</v>
      </c>
      <c r="J571" s="89">
        <f t="shared" si="46"/>
        <v>0</v>
      </c>
      <c r="K571" s="89">
        <f t="shared" si="46"/>
        <v>0</v>
      </c>
      <c r="L571" s="89">
        <f t="shared" si="46"/>
        <v>90653.57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1250199.58</v>
      </c>
      <c r="I575" s="87">
        <f>SUM(F575:H575)</f>
        <v>1250199.58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130800.28</v>
      </c>
      <c r="I577" s="87">
        <f t="shared" si="47"/>
        <v>130800.28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446418.42</v>
      </c>
      <c r="I579" s="87">
        <f t="shared" si="47"/>
        <v>446418.42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84807.2</v>
      </c>
      <c r="G582" s="18"/>
      <c r="H582" s="18">
        <v>290522.82</v>
      </c>
      <c r="I582" s="87">
        <f t="shared" si="47"/>
        <v>375330.02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178973.15</v>
      </c>
      <c r="I591" s="18"/>
      <c r="J591" s="18">
        <v>62297.440000000002</v>
      </c>
      <c r="K591" s="104">
        <f t="shared" ref="K591:K597" si="48">SUM(H591:J591)</f>
        <v>241270.59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148346.35999999999</v>
      </c>
      <c r="I592" s="18"/>
      <c r="J592" s="18">
        <v>61810.99</v>
      </c>
      <c r="K592" s="104">
        <f t="shared" si="48"/>
        <v>210157.34999999998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10885.11</v>
      </c>
      <c r="I594" s="18"/>
      <c r="J594" s="18"/>
      <c r="K594" s="104">
        <f t="shared" si="48"/>
        <v>10885.11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4780.87</v>
      </c>
      <c r="I595" s="18"/>
      <c r="J595" s="18"/>
      <c r="K595" s="104">
        <f t="shared" si="48"/>
        <v>4780.87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342985.49</v>
      </c>
      <c r="I598" s="108">
        <f>SUM(I591:I597)</f>
        <v>0</v>
      </c>
      <c r="J598" s="108">
        <f>SUM(J591:J597)</f>
        <v>124108.43</v>
      </c>
      <c r="K598" s="108">
        <f>SUM(K591:K597)</f>
        <v>467093.91999999993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8650.7199999999993</v>
      </c>
      <c r="I604" s="18"/>
      <c r="J604" s="18"/>
      <c r="K604" s="104">
        <f>SUM(H604:J604)</f>
        <v>8650.7199999999993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8650.7199999999993</v>
      </c>
      <c r="I605" s="108">
        <f>SUM(I602:I604)</f>
        <v>0</v>
      </c>
      <c r="J605" s="108">
        <f>SUM(J602:J604)</f>
        <v>0</v>
      </c>
      <c r="K605" s="108">
        <f>SUM(K602:K604)</f>
        <v>8650.7199999999993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5983</v>
      </c>
      <c r="G611" s="18">
        <v>856.68</v>
      </c>
      <c r="H611" s="18">
        <f>9714.5+1120</f>
        <v>10834.5</v>
      </c>
      <c r="I611" s="18"/>
      <c r="J611" s="18"/>
      <c r="K611" s="18"/>
      <c r="L611" s="88">
        <f>SUM(F611:K611)</f>
        <v>17674.18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4725</v>
      </c>
      <c r="I612" s="18"/>
      <c r="J612" s="18"/>
      <c r="K612" s="18"/>
      <c r="L612" s="88">
        <f>SUM(F612:K612)</f>
        <v>4725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9178.9500000000007</v>
      </c>
      <c r="I613" s="18"/>
      <c r="J613" s="18"/>
      <c r="K613" s="18"/>
      <c r="L613" s="88">
        <f>SUM(F613:K613)</f>
        <v>9178.9500000000007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5983</v>
      </c>
      <c r="G614" s="108">
        <f t="shared" si="49"/>
        <v>856.68</v>
      </c>
      <c r="H614" s="108">
        <f t="shared" si="49"/>
        <v>24738.45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31578.13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842018.14</v>
      </c>
      <c r="H617" s="109">
        <f>SUM(F52)</f>
        <v>842018.14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37545.449999999997</v>
      </c>
      <c r="H618" s="109">
        <f>SUM(G52)</f>
        <v>37545.449999999997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20046.64</v>
      </c>
      <c r="H619" s="109">
        <f>SUM(H52)</f>
        <v>20046.64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469557.85</v>
      </c>
      <c r="H621" s="109">
        <f>SUM(J52)</f>
        <v>469557.85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553147.14</v>
      </c>
      <c r="H622" s="109">
        <f>F476</f>
        <v>553147.1400000006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31184.16</v>
      </c>
      <c r="H623" s="109">
        <f>G476</f>
        <v>31184.160000000003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469557.85</v>
      </c>
      <c r="H626" s="109">
        <f>J476</f>
        <v>469557.85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7316668.4400000004</v>
      </c>
      <c r="H627" s="104">
        <f>SUM(F468)</f>
        <v>7316668.4400000004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137934.63999999998</v>
      </c>
      <c r="H628" s="104">
        <f>SUM(G468)</f>
        <v>137934.64000000001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156104.25</v>
      </c>
      <c r="H629" s="104">
        <f>SUM(H468)</f>
        <v>156104.25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62617.02</v>
      </c>
      <c r="H631" s="104">
        <f>SUM(J468)</f>
        <v>62617.02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7259811.3699999992</v>
      </c>
      <c r="H632" s="104">
        <f>SUM(F472)</f>
        <v>7259811.3700000001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156104.25</v>
      </c>
      <c r="H633" s="104">
        <f>SUM(H472)</f>
        <v>156104.25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67393.210000000006</v>
      </c>
      <c r="H634" s="104">
        <f>I369</f>
        <v>67393.209999999992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135225.79</v>
      </c>
      <c r="H635" s="104">
        <f>SUM(G472)</f>
        <v>135225.79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62617.02</v>
      </c>
      <c r="H637" s="164">
        <f>SUM(J468)</f>
        <v>62617.02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34863.78</v>
      </c>
      <c r="H638" s="164">
        <f>SUM(J472)</f>
        <v>34863.78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281661.27</v>
      </c>
      <c r="H639" s="104">
        <f>SUM(F461)</f>
        <v>281661.27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187896.58</v>
      </c>
      <c r="H640" s="104">
        <f>SUM(G461)</f>
        <v>187896.58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469557.85</v>
      </c>
      <c r="H642" s="104">
        <f>SUM(I461)</f>
        <v>469557.85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117.02</v>
      </c>
      <c r="H644" s="104">
        <f>H408</f>
        <v>117.02000000000001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62500</v>
      </c>
      <c r="H645" s="104">
        <f>G408</f>
        <v>62500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62617.02</v>
      </c>
      <c r="H646" s="104">
        <f>L408</f>
        <v>62617.02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467093.91999999993</v>
      </c>
      <c r="H647" s="104">
        <f>L208+L226+L244</f>
        <v>467093.92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8650.7199999999993</v>
      </c>
      <c r="H648" s="104">
        <f>(J257+J338)-(J255+J336)</f>
        <v>8650.7199999999993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342985.49</v>
      </c>
      <c r="H649" s="104">
        <f>H598</f>
        <v>342985.49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124108.43</v>
      </c>
      <c r="H651" s="104">
        <f>J598</f>
        <v>124108.43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62500</v>
      </c>
      <c r="H655" s="104">
        <f>K266+K347</f>
        <v>62500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5232687.93</v>
      </c>
      <c r="G660" s="19">
        <f>(L229+L309+L359)</f>
        <v>4725</v>
      </c>
      <c r="H660" s="19">
        <f>(L247+L328+L360)</f>
        <v>2251228.48</v>
      </c>
      <c r="I660" s="19">
        <f>SUM(F660:H660)</f>
        <v>7488641.4100000001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93572.79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93572.79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342985.49</v>
      </c>
      <c r="G662" s="19">
        <f>(L226+L306)-(J226+J306)</f>
        <v>0</v>
      </c>
      <c r="H662" s="19">
        <f>(L244+L325)-(J244+J325)</f>
        <v>124108.43</v>
      </c>
      <c r="I662" s="19">
        <f>SUM(F662:H662)</f>
        <v>467093.92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111132.1</v>
      </c>
      <c r="G663" s="199">
        <f>SUM(G575:G587)+SUM(I602:I604)+L612</f>
        <v>4725</v>
      </c>
      <c r="H663" s="199">
        <f>SUM(H575:H587)+SUM(J602:J604)+L613</f>
        <v>2127120.0500000003</v>
      </c>
      <c r="I663" s="19">
        <f>SUM(F663:H663)</f>
        <v>2242977.1500000004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4684997.55</v>
      </c>
      <c r="G664" s="19">
        <f>G660-SUM(G661:G663)</f>
        <v>0</v>
      </c>
      <c r="H664" s="19">
        <f>H660-SUM(H661:H663)</f>
        <v>0</v>
      </c>
      <c r="I664" s="19">
        <f>I660-SUM(I661:I663)</f>
        <v>4684997.55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371.96</v>
      </c>
      <c r="G665" s="248"/>
      <c r="H665" s="248"/>
      <c r="I665" s="19">
        <f>SUM(F665:H665)</f>
        <v>371.96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12595.43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12595.43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12595.43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12595.43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Candia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1466526.04</v>
      </c>
      <c r="C9" s="229">
        <f>'DOE25'!G197+'DOE25'!G215+'DOE25'!G233+'DOE25'!G276+'DOE25'!G295+'DOE25'!G314</f>
        <v>662887.18000000005</v>
      </c>
    </row>
    <row r="10" spans="1:3" x14ac:dyDescent="0.2">
      <c r="A10" t="s">
        <v>779</v>
      </c>
      <c r="B10" s="240">
        <v>1383274.69</v>
      </c>
      <c r="C10" s="240">
        <v>656771.49</v>
      </c>
    </row>
    <row r="11" spans="1:3" x14ac:dyDescent="0.2">
      <c r="A11" t="s">
        <v>780</v>
      </c>
      <c r="B11" s="240">
        <v>18190.8</v>
      </c>
      <c r="C11" s="240">
        <v>1445.85</v>
      </c>
    </row>
    <row r="12" spans="1:3" x14ac:dyDescent="0.2">
      <c r="A12" t="s">
        <v>781</v>
      </c>
      <c r="B12" s="240">
        <v>65060.55</v>
      </c>
      <c r="C12" s="240">
        <v>4669.84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1466526.04</v>
      </c>
      <c r="C13" s="231">
        <f>SUM(C10:C12)</f>
        <v>662887.17999999993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514577.88</v>
      </c>
      <c r="C18" s="229">
        <f>'DOE25'!G198+'DOE25'!G216+'DOE25'!G234+'DOE25'!G277+'DOE25'!G296+'DOE25'!G315</f>
        <v>167911.25</v>
      </c>
    </row>
    <row r="19" spans="1:3" x14ac:dyDescent="0.2">
      <c r="A19" t="s">
        <v>779</v>
      </c>
      <c r="B19" s="240">
        <v>247673</v>
      </c>
      <c r="C19" s="240">
        <v>117889.59</v>
      </c>
    </row>
    <row r="20" spans="1:3" x14ac:dyDescent="0.2">
      <c r="A20" t="s">
        <v>780</v>
      </c>
      <c r="B20" s="240">
        <v>160171.67000000001</v>
      </c>
      <c r="C20" s="240">
        <v>17423.169999999998</v>
      </c>
    </row>
    <row r="21" spans="1:3" x14ac:dyDescent="0.2">
      <c r="A21" t="s">
        <v>781</v>
      </c>
      <c r="B21" s="240">
        <v>106733.21</v>
      </c>
      <c r="C21" s="240">
        <v>32598.49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514577.88000000006</v>
      </c>
      <c r="C22" s="231">
        <f>SUM(C19:C21)</f>
        <v>167911.25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24420</v>
      </c>
      <c r="C36" s="235">
        <f>'DOE25'!G200+'DOE25'!G218+'DOE25'!G236+'DOE25'!G279+'DOE25'!G298+'DOE25'!G317</f>
        <v>3754.3900000000003</v>
      </c>
    </row>
    <row r="37" spans="1:3" x14ac:dyDescent="0.2">
      <c r="A37" t="s">
        <v>779</v>
      </c>
      <c r="B37" s="240">
        <v>13020</v>
      </c>
      <c r="C37" s="240">
        <v>2820.1</v>
      </c>
    </row>
    <row r="38" spans="1:3" x14ac:dyDescent="0.2">
      <c r="A38" t="s">
        <v>780</v>
      </c>
      <c r="B38" s="240">
        <v>4200</v>
      </c>
      <c r="C38" s="240">
        <v>292.83999999999997</v>
      </c>
    </row>
    <row r="39" spans="1:3" x14ac:dyDescent="0.2">
      <c r="A39" t="s">
        <v>781</v>
      </c>
      <c r="B39" s="240">
        <v>7200</v>
      </c>
      <c r="C39" s="240">
        <v>641.45000000000005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24420</v>
      </c>
      <c r="C40" s="231">
        <f>SUM(C37:C39)</f>
        <v>3754.3900000000003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Candia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5081573.7299999995</v>
      </c>
      <c r="D5" s="20">
        <f>SUM('DOE25'!L197:L200)+SUM('DOE25'!L215:L218)+SUM('DOE25'!L233:L236)-F5-G5</f>
        <v>5073504.4999999991</v>
      </c>
      <c r="E5" s="243"/>
      <c r="F5" s="255">
        <f>SUM('DOE25'!J197:J200)+SUM('DOE25'!J215:J218)+SUM('DOE25'!J233:J236)</f>
        <v>6836.73</v>
      </c>
      <c r="G5" s="53">
        <f>SUM('DOE25'!K197:K200)+SUM('DOE25'!K215:K218)+SUM('DOE25'!K233:K236)</f>
        <v>1232.5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422221.23000000004</v>
      </c>
      <c r="D6" s="20">
        <f>'DOE25'!L202+'DOE25'!L220+'DOE25'!L238-F6-G6</f>
        <v>420829.03</v>
      </c>
      <c r="E6" s="243"/>
      <c r="F6" s="255">
        <f>'DOE25'!J202+'DOE25'!J220+'DOE25'!J238</f>
        <v>0</v>
      </c>
      <c r="G6" s="53">
        <f>'DOE25'!K202+'DOE25'!K220+'DOE25'!K238</f>
        <v>1392.2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82767.189999999988</v>
      </c>
      <c r="D7" s="20">
        <f>'DOE25'!L203+'DOE25'!L221+'DOE25'!L239-F7-G7</f>
        <v>82767.189999999988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101422.71</v>
      </c>
      <c r="D8" s="243"/>
      <c r="E8" s="20">
        <f>'DOE25'!L204+'DOE25'!L222+'DOE25'!L240-F8-G8-D9-D11</f>
        <v>95393.22</v>
      </c>
      <c r="F8" s="255">
        <f>'DOE25'!J204+'DOE25'!J222+'DOE25'!J240</f>
        <v>199.99</v>
      </c>
      <c r="G8" s="53">
        <f>'DOE25'!K204+'DOE25'!K222+'DOE25'!K240</f>
        <v>5829.5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51991.94</v>
      </c>
      <c r="D9" s="244">
        <v>51991.94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10700</v>
      </c>
      <c r="D10" s="243"/>
      <c r="E10" s="244">
        <v>10700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53703.29</v>
      </c>
      <c r="D11" s="244">
        <v>53703.29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337661.12</v>
      </c>
      <c r="D12" s="20">
        <f>'DOE25'!L205+'DOE25'!L223+'DOE25'!L241-F12-G12</f>
        <v>335021.12</v>
      </c>
      <c r="E12" s="243"/>
      <c r="F12" s="255">
        <f>'DOE25'!J205+'DOE25'!J223+'DOE25'!J241</f>
        <v>915</v>
      </c>
      <c r="G12" s="53">
        <f>'DOE25'!K205+'DOE25'!K223+'DOE25'!K241</f>
        <v>1725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516957.14999999997</v>
      </c>
      <c r="D14" s="20">
        <f>'DOE25'!L207+'DOE25'!L225+'DOE25'!L243-F14-G14</f>
        <v>516957.14999999997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467093.92</v>
      </c>
      <c r="D15" s="20">
        <f>'DOE25'!L208+'DOE25'!L226+'DOE25'!L244-F15-G15</f>
        <v>467093.92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81919.09</v>
      </c>
      <c r="D16" s="243"/>
      <c r="E16" s="20">
        <f>'DOE25'!L209+'DOE25'!L227+'DOE25'!L245-F16-G16</f>
        <v>81220.09</v>
      </c>
      <c r="F16" s="255">
        <f>'DOE25'!J209+'DOE25'!J227+'DOE25'!J245</f>
        <v>699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72918.580000000016</v>
      </c>
      <c r="D29" s="20">
        <f>'DOE25'!L358+'DOE25'!L359+'DOE25'!L360-'DOE25'!I367-F29-G29</f>
        <v>72918.580000000016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156104.25</v>
      </c>
      <c r="D31" s="20">
        <f>'DOE25'!L290+'DOE25'!L309+'DOE25'!L328+'DOE25'!L333+'DOE25'!L334+'DOE25'!L335-F31-G31</f>
        <v>149626.99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6477.26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7224413.7100000009</v>
      </c>
      <c r="E33" s="246">
        <f>SUM(E5:E31)</f>
        <v>187313.31</v>
      </c>
      <c r="F33" s="246">
        <f>SUM(F5:F31)</f>
        <v>8650.7199999999993</v>
      </c>
      <c r="G33" s="246">
        <f>SUM(G5:G31)</f>
        <v>16656.46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187313.31</v>
      </c>
      <c r="E35" s="249"/>
    </row>
    <row r="36" spans="2:8" ht="12" thickTop="1" x14ac:dyDescent="0.2">
      <c r="B36" t="s">
        <v>815</v>
      </c>
      <c r="D36" s="20">
        <f>D33</f>
        <v>7224413.7100000009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812131.71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17842.53</v>
      </c>
      <c r="D11" s="95">
        <f>'DOE25'!G12</f>
        <v>34129.25</v>
      </c>
      <c r="E11" s="95">
        <f>'DOE25'!H12</f>
        <v>0</v>
      </c>
      <c r="F11" s="95">
        <f>'DOE25'!I12</f>
        <v>0</v>
      </c>
      <c r="G11" s="95">
        <f>'DOE25'!J12</f>
        <v>469557.85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11981.4</v>
      </c>
      <c r="D12" s="95">
        <f>'DOE25'!G13</f>
        <v>3416.2</v>
      </c>
      <c r="E12" s="95">
        <f>'DOE25'!H13</f>
        <v>20046.64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62.5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842018.14</v>
      </c>
      <c r="D18" s="41">
        <f>SUM(D8:D17)</f>
        <v>37545.449999999997</v>
      </c>
      <c r="E18" s="41">
        <f>SUM(E8:E17)</f>
        <v>20046.64</v>
      </c>
      <c r="F18" s="41">
        <f>SUM(F8:F17)</f>
        <v>0</v>
      </c>
      <c r="G18" s="41">
        <f>SUM(G8:G17)</f>
        <v>469557.85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34129.25</v>
      </c>
      <c r="D21" s="95">
        <f>'DOE25'!G22</f>
        <v>0</v>
      </c>
      <c r="E21" s="95">
        <f>'DOE25'!H22</f>
        <v>16751.650000000001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249384.82</v>
      </c>
      <c r="D23" s="95">
        <f>'DOE25'!G24</f>
        <v>2521.63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5356.93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3839.66</v>
      </c>
      <c r="E29" s="95">
        <f>'DOE25'!H30</f>
        <v>3294.99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288871</v>
      </c>
      <c r="D31" s="41">
        <f>SUM(D21:D30)</f>
        <v>6361.29</v>
      </c>
      <c r="E31" s="41">
        <f>SUM(E21:E30)</f>
        <v>20046.64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174012</v>
      </c>
      <c r="D47" s="95">
        <f>'DOE25'!G48</f>
        <v>31184.16</v>
      </c>
      <c r="E47" s="95">
        <f>'DOE25'!H48</f>
        <v>0</v>
      </c>
      <c r="F47" s="95">
        <f>'DOE25'!I48</f>
        <v>0</v>
      </c>
      <c r="G47" s="95">
        <f>'DOE25'!J48</f>
        <v>469557.85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137709.01999999999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211426.12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553147.14</v>
      </c>
      <c r="D50" s="41">
        <f>SUM(D34:D49)</f>
        <v>31184.16</v>
      </c>
      <c r="E50" s="41">
        <f>SUM(E34:E49)</f>
        <v>0</v>
      </c>
      <c r="F50" s="41">
        <f>SUM(F34:F49)</f>
        <v>0</v>
      </c>
      <c r="G50" s="41">
        <f>SUM(G34:G49)</f>
        <v>469557.85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842018.14</v>
      </c>
      <c r="D51" s="41">
        <f>D50+D31</f>
        <v>37545.449999999997</v>
      </c>
      <c r="E51" s="41">
        <f>E50+E31</f>
        <v>20046.64</v>
      </c>
      <c r="F51" s="41">
        <f>F50+F31</f>
        <v>0</v>
      </c>
      <c r="G51" s="41">
        <f>G50+G31</f>
        <v>469557.85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4905195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10298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161.36000000000001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92832.92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3710.5799999999995</v>
      </c>
      <c r="D61" s="95">
        <f>SUM('DOE25'!G98:G110)</f>
        <v>739.87</v>
      </c>
      <c r="E61" s="95">
        <f>SUM('DOE25'!H98:H110)</f>
        <v>798.02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14169.94</v>
      </c>
      <c r="D62" s="130">
        <f>SUM(D57:D61)</f>
        <v>93572.79</v>
      </c>
      <c r="E62" s="130">
        <f>SUM(E57:E61)</f>
        <v>798.02</v>
      </c>
      <c r="F62" s="130">
        <f>SUM(F57:F61)</f>
        <v>0</v>
      </c>
      <c r="G62" s="130">
        <f>SUM(G57:G61)</f>
        <v>117.02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4919364.9400000004</v>
      </c>
      <c r="D63" s="22">
        <f>D56+D62</f>
        <v>93572.79</v>
      </c>
      <c r="E63" s="22">
        <f>E56+E62</f>
        <v>798.02</v>
      </c>
      <c r="F63" s="22">
        <f>F56+F62</f>
        <v>0</v>
      </c>
      <c r="G63" s="22">
        <f>G56+G62</f>
        <v>117.02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1318598.26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984080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2302678.2599999998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43811.55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2111.6799999999998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43811.55</v>
      </c>
      <c r="D78" s="130">
        <f>SUM(D72:D77)</f>
        <v>2111.6799999999998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2346489.8099999996</v>
      </c>
      <c r="D81" s="130">
        <f>SUM(D79:D80)+D78+D70</f>
        <v>2111.6799999999998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50813.69</v>
      </c>
      <c r="D88" s="95">
        <f>SUM('DOE25'!G153:G161)</f>
        <v>42250.17</v>
      </c>
      <c r="E88" s="95">
        <f>SUM('DOE25'!H153:H161)</f>
        <v>155306.23000000001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50813.69</v>
      </c>
      <c r="D91" s="131">
        <f>SUM(D85:D90)</f>
        <v>42250.17</v>
      </c>
      <c r="E91" s="131">
        <f>SUM(E85:E90)</f>
        <v>155306.23000000001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62500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62500</v>
      </c>
    </row>
    <row r="104" spans="1:7" ht="12.75" thickTop="1" thickBot="1" x14ac:dyDescent="0.25">
      <c r="A104" s="33" t="s">
        <v>765</v>
      </c>
      <c r="C104" s="86">
        <f>C63+C81+C91+C103</f>
        <v>7316668.4400000004</v>
      </c>
      <c r="D104" s="86">
        <f>D63+D81+D91+D103</f>
        <v>137934.63999999998</v>
      </c>
      <c r="E104" s="86">
        <f>E63+E81+E91+E103</f>
        <v>156104.25</v>
      </c>
      <c r="F104" s="86">
        <f>F63+F81+F91+F103</f>
        <v>0</v>
      </c>
      <c r="G104" s="86">
        <f>G63+G81+G103</f>
        <v>62617.02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3525529.9299999997</v>
      </c>
      <c r="D109" s="24" t="s">
        <v>289</v>
      </c>
      <c r="E109" s="95">
        <f>('DOE25'!L276)+('DOE25'!L295)+('DOE25'!L314)</f>
        <v>35655.449999999997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1512798.7799999998</v>
      </c>
      <c r="D110" s="24" t="s">
        <v>289</v>
      </c>
      <c r="E110" s="95">
        <f>('DOE25'!L277)+('DOE25'!L296)+('DOE25'!L315)</f>
        <v>62052.15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43245.02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5081573.7299999986</v>
      </c>
      <c r="D115" s="86">
        <f>SUM(D109:D114)</f>
        <v>0</v>
      </c>
      <c r="E115" s="86">
        <f>SUM(E109:E114)</f>
        <v>97707.6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422221.23000000004</v>
      </c>
      <c r="D118" s="24" t="s">
        <v>289</v>
      </c>
      <c r="E118" s="95">
        <f>+('DOE25'!L281)+('DOE25'!L300)+('DOE25'!L319)</f>
        <v>6570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82767.189999999988</v>
      </c>
      <c r="D119" s="24" t="s">
        <v>289</v>
      </c>
      <c r="E119" s="95">
        <f>+('DOE25'!L282)+('DOE25'!L301)+('DOE25'!L320)</f>
        <v>44713.359999999993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207117.94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337661.12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6477.26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516957.14999999997</v>
      </c>
      <c r="D123" s="24" t="s">
        <v>289</v>
      </c>
      <c r="E123" s="95">
        <f>+('DOE25'!L286)+('DOE25'!L305)+('DOE25'!L324)</f>
        <v>636.03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467093.92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81919.09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135225.79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2115737.6399999997</v>
      </c>
      <c r="D128" s="86">
        <f>SUM(D118:D127)</f>
        <v>135225.79</v>
      </c>
      <c r="E128" s="86">
        <f>SUM(E118:E127)</f>
        <v>58396.649999999994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50066.77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12550.250000000002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-117.0199999999968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62500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7259811.3699999982</v>
      </c>
      <c r="D145" s="86">
        <f>(D115+D128+D144)</f>
        <v>135225.79</v>
      </c>
      <c r="E145" s="86">
        <f>(E115+E128+E144)</f>
        <v>156104.25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Candia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12595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12595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3561185</v>
      </c>
      <c r="D10" s="182">
        <f>ROUND((C10/$C$28)*100,1)</f>
        <v>48.2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1574851</v>
      </c>
      <c r="D11" s="182">
        <f>ROUND((C11/$C$28)*100,1)</f>
        <v>21.3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43245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428791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127481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289037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337661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6477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517593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467094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41653.210000000006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7395068.21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7395068.21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4905195</v>
      </c>
      <c r="D35" s="182">
        <f t="shared" ref="D35:D40" si="1">ROUND((C35/$C$41)*100,1)</f>
        <v>65.3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15084.979999999516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2302678</v>
      </c>
      <c r="D37" s="182">
        <f t="shared" si="1"/>
        <v>30.6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45923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248370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7517250.9799999995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Candia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2014-09-12T12:14:51Z</cp:lastPrinted>
  <dcterms:created xsi:type="dcterms:W3CDTF">1997-12-04T19:04:30Z</dcterms:created>
  <dcterms:modified xsi:type="dcterms:W3CDTF">2014-09-16T17:31:25Z</dcterms:modified>
</cp:coreProperties>
</file>