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F22" i="13" s="1"/>
  <c r="C22" i="13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5" i="10"/>
  <c r="C19" i="10"/>
  <c r="L250" i="1"/>
  <c r="L332" i="1"/>
  <c r="L254" i="1"/>
  <c r="C25" i="10"/>
  <c r="L268" i="1"/>
  <c r="L269" i="1"/>
  <c r="C143" i="2" s="1"/>
  <c r="L349" i="1"/>
  <c r="L350" i="1"/>
  <c r="I665" i="1"/>
  <c r="I670" i="1"/>
  <c r="L229" i="1"/>
  <c r="G661" i="1"/>
  <c r="H661" i="1"/>
  <c r="F662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20" i="2"/>
  <c r="C121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H641" i="1" s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H642" i="1"/>
  <c r="G643" i="1"/>
  <c r="H643" i="1"/>
  <c r="G644" i="1"/>
  <c r="H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164" i="2"/>
  <c r="C18" i="2"/>
  <c r="C26" i="10"/>
  <c r="L351" i="1"/>
  <c r="L290" i="1"/>
  <c r="A31" i="12"/>
  <c r="C70" i="2"/>
  <c r="A40" i="12"/>
  <c r="D12" i="13"/>
  <c r="C12" i="13" s="1"/>
  <c r="D18" i="13"/>
  <c r="C18" i="13" s="1"/>
  <c r="D15" i="13"/>
  <c r="C15" i="13" s="1"/>
  <c r="D18" i="2"/>
  <c r="D17" i="13"/>
  <c r="C17" i="13" s="1"/>
  <c r="D6" i="13"/>
  <c r="C6" i="13" s="1"/>
  <c r="E8" i="13"/>
  <c r="C8" i="13" s="1"/>
  <c r="C91" i="2"/>
  <c r="F78" i="2"/>
  <c r="F81" i="2" s="1"/>
  <c r="C78" i="2"/>
  <c r="C81" i="2" s="1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39" i="1"/>
  <c r="K605" i="1"/>
  <c r="G648" i="1" s="1"/>
  <c r="J571" i="1"/>
  <c r="K571" i="1"/>
  <c r="L433" i="1"/>
  <c r="L419" i="1"/>
  <c r="D81" i="2"/>
  <c r="I169" i="1"/>
  <c r="H169" i="1"/>
  <c r="J644" i="1"/>
  <c r="J643" i="1"/>
  <c r="J476" i="1"/>
  <c r="H626" i="1" s="1"/>
  <c r="I476" i="1"/>
  <c r="H625" i="1" s="1"/>
  <c r="J625" i="1" s="1"/>
  <c r="G338" i="1"/>
  <c r="G352" i="1" s="1"/>
  <c r="F169" i="1"/>
  <c r="J140" i="1"/>
  <c r="F571" i="1"/>
  <c r="I552" i="1"/>
  <c r="G22" i="2"/>
  <c r="H552" i="1"/>
  <c r="C29" i="10"/>
  <c r="H140" i="1"/>
  <c r="L401" i="1"/>
  <c r="C139" i="2" s="1"/>
  <c r="L393" i="1"/>
  <c r="A13" i="12"/>
  <c r="H25" i="13"/>
  <c r="C25" i="13" s="1"/>
  <c r="J640" i="1"/>
  <c r="H571" i="1"/>
  <c r="L560" i="1"/>
  <c r="J545" i="1"/>
  <c r="H338" i="1"/>
  <c r="H352" i="1" s="1"/>
  <c r="G192" i="1"/>
  <c r="H192" i="1"/>
  <c r="C35" i="10"/>
  <c r="L309" i="1"/>
  <c r="D5" i="13"/>
  <c r="C5" i="13" s="1"/>
  <c r="E16" i="13"/>
  <c r="J655" i="1"/>
  <c r="L570" i="1"/>
  <c r="I571" i="1"/>
  <c r="I545" i="1"/>
  <c r="J636" i="1"/>
  <c r="G36" i="2"/>
  <c r="L565" i="1"/>
  <c r="C138" i="2"/>
  <c r="C16" i="13"/>
  <c r="L544" i="1" l="1"/>
  <c r="K550" i="1"/>
  <c r="J552" i="1"/>
  <c r="L529" i="1"/>
  <c r="J651" i="1"/>
  <c r="K598" i="1"/>
  <c r="G647" i="1" s="1"/>
  <c r="J647" i="1" s="1"/>
  <c r="J649" i="1"/>
  <c r="H545" i="1"/>
  <c r="K549" i="1"/>
  <c r="F552" i="1"/>
  <c r="L524" i="1"/>
  <c r="C130" i="2"/>
  <c r="C21" i="10"/>
  <c r="H662" i="1"/>
  <c r="I662" i="1" s="1"/>
  <c r="H476" i="1"/>
  <c r="H624" i="1" s="1"/>
  <c r="J624" i="1" s="1"/>
  <c r="G476" i="1"/>
  <c r="H623" i="1" s="1"/>
  <c r="J623" i="1" s="1"/>
  <c r="H52" i="1"/>
  <c r="H619" i="1" s="1"/>
  <c r="J619" i="1" s="1"/>
  <c r="D31" i="2"/>
  <c r="D51" i="2" s="1"/>
  <c r="J645" i="1"/>
  <c r="J641" i="1"/>
  <c r="F476" i="1"/>
  <c r="H622" i="1" s="1"/>
  <c r="J622" i="1" s="1"/>
  <c r="I661" i="1"/>
  <c r="L362" i="1"/>
  <c r="D145" i="2"/>
  <c r="E115" i="2"/>
  <c r="E119" i="2"/>
  <c r="E128" i="2" s="1"/>
  <c r="L328" i="1"/>
  <c r="L338" i="1" s="1"/>
  <c r="L352" i="1" s="1"/>
  <c r="G633" i="1" s="1"/>
  <c r="J633" i="1" s="1"/>
  <c r="C11" i="10"/>
  <c r="F338" i="1"/>
  <c r="F352" i="1" s="1"/>
  <c r="C16" i="10"/>
  <c r="H33" i="13"/>
  <c r="C32" i="10"/>
  <c r="L247" i="1"/>
  <c r="F257" i="1"/>
  <c r="F271" i="1" s="1"/>
  <c r="C10" i="10"/>
  <c r="H257" i="1"/>
  <c r="H271" i="1" s="1"/>
  <c r="C123" i="2"/>
  <c r="C120" i="2"/>
  <c r="E33" i="13"/>
  <c r="D35" i="13" s="1"/>
  <c r="D7" i="13"/>
  <c r="C7" i="13" s="1"/>
  <c r="C119" i="2"/>
  <c r="C109" i="2"/>
  <c r="C115" i="2" s="1"/>
  <c r="L211" i="1"/>
  <c r="C62" i="2"/>
  <c r="C63" i="2" s="1"/>
  <c r="C104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K552" i="1" l="1"/>
  <c r="L545" i="1"/>
  <c r="C144" i="2"/>
  <c r="H646" i="1"/>
  <c r="J646" i="1" s="1"/>
  <c r="G667" i="1"/>
  <c r="E145" i="2"/>
  <c r="D31" i="13"/>
  <c r="C31" i="13" s="1"/>
  <c r="H660" i="1"/>
  <c r="H664" i="1" s="1"/>
  <c r="H672" i="1" s="1"/>
  <c r="C6" i="10" s="1"/>
  <c r="C28" i="10"/>
  <c r="D23" i="10" s="1"/>
  <c r="L257" i="1"/>
  <c r="L271" i="1" s="1"/>
  <c r="G632" i="1" s="1"/>
  <c r="J632" i="1" s="1"/>
  <c r="C128" i="2"/>
  <c r="F660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D33" i="13"/>
  <c r="D36" i="13" s="1"/>
  <c r="H667" i="1"/>
  <c r="D10" i="10"/>
  <c r="D21" i="10"/>
  <c r="D15" i="10"/>
  <c r="D20" i="10"/>
  <c r="D11" i="10"/>
  <c r="D19" i="10"/>
  <c r="D13" i="10"/>
  <c r="C30" i="10"/>
  <c r="D22" i="10"/>
  <c r="D26" i="10"/>
  <c r="D25" i="10"/>
  <c r="D27" i="10"/>
  <c r="D18" i="10"/>
  <c r="D17" i="10"/>
  <c r="D12" i="10"/>
  <c r="D24" i="10"/>
  <c r="D16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<sst xmlns="http://schemas.openxmlformats.org/spreadsheetml/2006/main" count="3956" uniqueCount="914">
  <si>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</si>
  <si>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</si>
  <si>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</si>
  <si>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</si>
  <si>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</si>
  <si>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</si>
  <si>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</si>
  <si>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</si>
  <si>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</si>
  <si>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</si>
  <si>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</si>
  <si>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</si>
  <si>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</si>
  <si>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</si>
  <si>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</si>
  <si>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</si>
  <si>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</si>
  <si>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</si>
  <si>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</si>
  <si>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</si>
  <si>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</si>
  <si>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</si>
  <si>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</si>
  <si>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</si>
  <si>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</si>
  <si>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</si>
  <si>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</si>
  <si>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</si>
  <si>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</si>
  <si>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</si>
  <si>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</si>
  <si>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</si>
  <si>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</si>
  <si>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</si>
  <si>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</si>
  <si>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</si>
  <si>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</si>
  <si>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</si>
  <si>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</si>
  <si>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</si>
  <si>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</si>
  <si>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</si>
  <si>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</si>
  <si>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</si>
  <si>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</si>
  <si>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</si>
  <si>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</si>
  <si>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</si>
  <si>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</si>
  <si>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</si>
  <si>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</si>
  <si>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</si>
  <si>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</si>
  <si>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</si>
  <si>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</si>
  <si>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</si>
  <si>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</si>
  <si>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</si>
  <si>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</si>
  <si>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</si>
  <si>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</si>
  <si>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</si>
  <si>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</si>
  <si>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</si>
  <si>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</si>
  <si>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</si>
  <si>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</si>
  <si>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</si>
  <si>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</si>
  <si>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</si>
  <si>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</si>
  <si>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</si>
  <si>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</si>
  <si>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</si>
  <si>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</si>
  <si>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</si>
  <si>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</si>
  <si>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</si>
  <si>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</si>
  <si>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</si>
  <si>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</si>
  <si>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</si>
  <si>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</si>
  <si>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</si>
  <si>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</si>
  <si>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</si>
  <si>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</si>
  <si>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</si>
  <si>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</si>
  <si>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</si>
  <si>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</si>
  <si>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</si>
  <si>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</si>
  <si>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</si>
  <si>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</si>
  <si>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</si>
  <si>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</si>
  <si>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</si>
  <si>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</si>
  <si>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</si>
  <si>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</si>
  <si>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</si>
  <si>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</si>
  <si>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</si>
  <si>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</si>
  <si>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</si>
  <si>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</si>
  <si>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</si>
  <si>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</si>
  <si>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</si>
  <si>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</si>
  <si>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</si>
  <si>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</si>
  <si>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</si>
  <si>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</si>
  <si>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</si>
  <si>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</si>
  <si>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</si>
  <si>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</si>
  <si>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</si>
  <si>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</si>
  <si>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</si>
  <si>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</si>
  <si>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</si>
  <si>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</si>
  <si>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</si>
  <si>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</si>
  <si>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</si>
  <si>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</si>
  <si>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</si>
  <si>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</si>
  <si>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</si>
  <si>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</si>
  <si>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</si>
  <si>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</si>
  <si>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</si>
  <si>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</si>
  <si>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</si>
  <si>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</si>
  <si>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</si>
  <si>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</si>
  <si>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</si>
  <si>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</si>
  <si>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</si>
  <si>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</si>
  <si>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</si>
  <si>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</si>
  <si>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</si>
  <si>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</si>
  <si>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</si>
  <si>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</si>
  <si>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</si>
  <si>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</si>
  <si>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</si>
  <si>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</si>
  <si>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</si>
  <si>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</si>
  <si>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</si>
  <si>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</si>
  <si>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</si>
  <si>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</si>
  <si>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</si>
  <si>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</si>
  <si>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</si>
  <si>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</si>
  <si>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</si>
  <si>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</si>
  <si>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</si>
  <si>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</si>
  <si>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</si>
  <si>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</si>
  <si>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</si>
  <si>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</si>
  <si>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</si>
  <si>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</si>
  <si>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</si>
  <si>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</si>
  <si>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</si>
  <si>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</si>
  <si>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</si>
  <si>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</si>
  <si>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</si>
  <si>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</si>
  <si>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</si>
  <si>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</si>
  <si>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</si>
  <si>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</si>
  <si>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</si>
  <si>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</si>
  <si>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</si>
  <si>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</si>
  <si>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</si>
  <si>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</si>
  <si>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</si>
  <si>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</si>
  <si>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</si>
  <si>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</si>
  <si>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</si>
  <si>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</si>
  <si>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</si>
  <si>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</si>
  <si>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</si>
  <si>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</si>
  <si>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</si>
  <si>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</si>
  <si>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</si>
  <si>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</si>
  <si>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</si>
  <si>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</si>
  <si>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</si>
  <si>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</si>
  <si>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</si>
  <si>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</si>
  <si>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</si>
  <si>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</si>
  <si>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</si>
  <si>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</si>
  <si>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</si>
  <si>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</si>
  <si>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</si>
  <si>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</si>
  <si>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</si>
  <si>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</si>
  <si>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</si>
  <si>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</si>
  <si>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</si>
  <si>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</si>
  <si>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</si>
  <si>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</si>
  <si>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</si>
  <si>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</si>
  <si>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</si>
  <si>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</si>
  <si>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</si>
  <si>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</si>
  <si>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</si>
  <si>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</si>
  <si>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</si>
  <si>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</si>
  <si>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</si>
  <si>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</si>
  <si>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</si>
  <si>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</si>
  <si>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</si>
  <si>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</si>
  <si>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</si>
  <si>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</si>
  <si>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</si>
  <si>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</si>
  <si>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</si>
  <si>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</si>
  <si>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</si>
  <si>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</si>
  <si>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</si>
  <si>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</si>
  <si>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</si>
  <si>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</si>
  <si>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</si>
  <si>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</si>
  <si>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</si>
  <si>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</si>
  <si>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</si>
  <si>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</si>
  <si>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</si>
  <si>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</si>
  <si>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</si>
  <si>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</si>
  <si>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</si>
  <si>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</si>
  <si>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</si>
  <si>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</si>
  <si>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</si>
  <si>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</si>
  <si>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</si>
  <si>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</si>
  <si>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</si>
  <si>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</si>
  <si>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</si>
  <si>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</si>
  <si>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</si>
  <si>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</si>
  <si>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</si>
  <si>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</si>
  <si>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</si>
  <si>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</si>
  <si>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</si>
  <si>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</si>
  <si>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</si>
  <si>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</si>
  <si>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</si>
  <si>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</si>
  <si>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</si>
  <si>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</si>
  <si>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</si>
  <si>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</si>
  <si>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</si>
  <si>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</si>
  <si>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</si>
  <si>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</si>
  <si>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</si>
  <si>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</si>
  <si>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</si>
  <si>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</si>
  <si>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</si>
  <si>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</si>
  <si>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</si>
  <si>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</si>
  <si>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</si>
  <si>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</si>
  <si>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</si>
  <si>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</si>
  <si>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</si>
  <si>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</si>
  <si>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</si>
  <si>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</si>
  <si>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</si>
  <si>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</si>
  <si>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</si>
  <si>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</si>
  <si>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</si>
  <si>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</si>
  <si>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</si>
  <si>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</si>
  <si>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</si>
  <si>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</si>
  <si>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</si>
  <si>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</si>
  <si>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</si>
  <si>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</si>
  <si>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</si>
  <si>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</si>
  <si>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</si>
  <si>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</si>
  <si>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</si>
  <si>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</si>
  <si>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</si>
  <si>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</si>
  <si>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</si>
  <si>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</si>
  <si>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</si>
  <si>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</si>
  <si>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</si>
  <si>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</si>
  <si>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</si>
  <si>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</si>
  <si>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</si>
  <si>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</si>
  <si>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</si>
  <si>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</si>
  <si>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</si>
  <si>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</si>
  <si>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</si>
  <si>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</si>
  <si>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</si>
  <si>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</si>
  <si>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</si>
  <si>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</si>
  <si>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</si>
  <si>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</si>
  <si>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</si>
  <si>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</si>
  <si>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</si>
  <si>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</si>
  <si>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</si>
  <si>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</si>
  <si>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</si>
  <si>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</si>
  <si>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</si>
  <si>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</si>
  <si>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</si>
  <si>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</si>
  <si>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</si>
  <si>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</si>
  <si>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</si>
  <si>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</si>
  <si>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</si>
  <si>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</si>
  <si>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</si>
  <si>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</si>
  <si>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</si>
  <si>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</si>
  <si>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</si>
  <si>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</si>
  <si>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</si>
  <si>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</si>
  <si>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</si>
  <si>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</si>
  <si>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</si>
  <si>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</si>
  <si>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</si>
  <si>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</si>
  <si>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</si>
  <si>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</si>
  <si>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</si>
  <si>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</si>
  <si>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</si>
  <si>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</si>
  <si>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</si>
  <si>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</si>
  <si>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</si>
  <si>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</si>
  <si>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</si>
  <si>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</si>
  <si>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</si>
  <si>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</si>
  <si>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</si>
  <si>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</si>
  <si>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</si>
  <si>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</si>
  <si>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</si>
  <si>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</si>
  <si>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</si>
  <si>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</si>
  <si>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</si>
  <si>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</si>
  <si>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</si>
  <si>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</si>
  <si>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</si>
  <si>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</si>
  <si>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</si>
  <si>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</si>
  <si>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</si>
  <si>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</si>
  <si>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</si>
  <si>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</si>
  <si>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</si>
  <si>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</si>
  <si>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</si>
  <si>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</si>
  <si>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</si>
  <si>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</si>
  <si>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</si>
  <si>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</si>
  <si>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</si>
  <si>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</si>
  <si>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</si>
  <si>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</si>
  <si>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</si>
  <si>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</si>
  <si>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</si>
  <si>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</si>
  <si>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</si>
  <si>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</si>
  <si>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</si>
  <si>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</si>
  <si>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</si>
  <si>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</si>
  <si>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</si>
  <si>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</si>
  <si>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</si>
  <si>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</si>
  <si>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</si>
  <si>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</si>
  <si>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</si>
  <si>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</si>
  <si>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</si>
  <si>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</si>
  <si>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</si>
  <si>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</si>
  <si>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</si>
  <si>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</si>
  <si>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</si>
  <si>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</si>
  <si>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</si>
  <si>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</si>
  <si>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</si>
  <si>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</si>
  <si>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</si>
  <si>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</si>
  <si>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</si>
  <si>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</si>
  <si>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</si>
  <si>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</si>
  <si>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</si>
  <si>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</si>
  <si>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</si>
  <si>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</si>
  <si>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</si>
  <si>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</si>
  <si>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</si>
  <si>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</si>
  <si>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</si>
  <si>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</si>
  <si>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</si>
  <si>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</si>
  <si>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</si>
  <si>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</si>
  <si>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</si>
  <si>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</si>
  <si>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</si>
  <si>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</si>
  <si>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</si>
  <si>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</si>
  <si>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</si>
  <si>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</si>
  <si>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</si>
  <si>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</si>
  <si>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</si>
  <si>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</si>
  <si>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</si>
  <si>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</si>
  <si>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</si>
  <si>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</si>
  <si>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</si>
  <si>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</si>
  <si>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</si>
  <si>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</si>
  <si>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</si>
  <si>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</si>
  <si>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</si>
  <si>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</si>
  <si>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</si>
  <si>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</si>
  <si>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</si>
  <si>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</si>
  <si>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</si>
  <si>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</si>
  <si>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</si>
  <si>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</si>
  <si>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</si>
  <si>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</si>
  <si>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</si>
  <si>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</si>
  <si>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</si>
  <si>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</si>
  <si>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</si>
  <si>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</si>
  <si>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</si>
  <si>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</si>
  <si>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</si>
  <si>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</si>
  <si>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</si>
  <si>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</si>
  <si>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</si>
  <si>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</si>
  <si>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</si>
  <si>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</si>
  <si>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</si>
  <si>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</si>
  <si>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</si>
  <si>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</si>
  <si>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</si>
  <si>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</si>
  <si>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</si>
  <si>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</si>
  <si>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</si>
  <si>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</si>
  <si>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</si>
  <si>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</si>
  <si>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</si>
  <si>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</si>
  <si>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</si>
  <si>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</si>
  <si>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</si>
  <si>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</si>
  <si>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</si>
  <si>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</si>
  <si>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</si>
  <si>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</si>
  <si>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</si>
  <si>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</si>
  <si>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</si>
  <si>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</si>
  <si>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</si>
  <si>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</si>
  <si>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</si>
  <si>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</si>
  <si>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</si>
  <si>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</si>
  <si>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</si>
  <si>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</si>
  <si>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</si>
  <si>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</si>
  <si>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</si>
  <si>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</si>
  <si>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</si>
  <si>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</si>
  <si>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</si>
  <si>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</si>
  <si>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</si>
  <si>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</si>
  <si>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</si>
  <si>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</si>
  <si>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</si>
  <si>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</si>
  <si>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</si>
  <si>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</si>
  <si>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</si>
  <si>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</si>
  <si>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</si>
  <si>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</si>
  <si>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</si>
  <si>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</si>
  <si>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</si>
  <si>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</si>
  <si>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</si>
  <si>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</si>
  <si>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</si>
  <si>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</si>
  <si>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</si>
  <si>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</si>
  <si>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</si>
  <si>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</si>
  <si>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</si>
  <si>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</si>
  <si>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</si>
  <si>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</si>
  <si>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</si>
  <si>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</si>
  <si>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</si>
  <si>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</si>
  <si>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</si>
  <si>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</si>
  <si>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</si>
  <si>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</si>
  <si>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</si>
  <si>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</si>
  <si>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</si>
  <si>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</si>
  <si>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</si>
  <si>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</si>
  <si>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</si>
  <si>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</si>
  <si>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</si>
  <si>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</si>
  <si>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</si>
  <si>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</si>
  <si>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</si>
  <si>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</si>
  <si>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</si>
  <si>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</si>
  <si>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</si>
  <si>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</si>
  <si>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</si>
  <si>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</si>
  <si>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</si>
  <si>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</si>
  <si>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</si>
  <si>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</si>
  <si>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</si>
  <si>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</si>
  <si>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</si>
  <si>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</si>
  <si>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</si>
  <si>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</si>
  <si>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</si>
  <si>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</si>
  <si>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</si>
  <si>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</si>
  <si>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</si>
  <si>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</si>
  <si>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</si>
  <si>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</si>
  <si>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</si>
  <si>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</si>
  <si>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</si>
  <si>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</si>
  <si>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</si>
  <si>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</si>
  <si>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</si>
  <si>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</si>
  <si>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</si>
  <si>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</si>
  <si>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</si>
  <si>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</si>
  <si>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</si>
  <si>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</si>
  <si>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</si>
  <si>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</si>
  <si>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</si>
  <si>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</si>
  <si>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</si>
  <si>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</si>
  <si>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</si>
  <si>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</si>
  <si>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</si>
  <si>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</si>
  <si>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</si>
  <si>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</si>
  <si>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</si>
  <si>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</si>
  <si>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</si>
  <si>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</si>
  <si>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</si>
  <si>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</si>
  <si>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</si>
  <si>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</si>
  <si>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</si>
  <si>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</si>
  <si>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</si>
  <si>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</si>
  <si>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</si>
  <si>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</si>
  <si>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</si>
  <si>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</si>
  <si>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</si>
  <si>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</si>
  <si>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</si>
  <si>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</si>
  <si>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</si>
  <si>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</si>
  <si>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</si>
  <si>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</si>
  <si>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</si>
  <si>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</si>
  <si>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</si>
  <si>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</si>
  <si>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</si>
  <si>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</si>
  <si>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</si>
  <si>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</si>
  <si>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</si>
  <si>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</si>
  <si>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</si>
  <si>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</si>
  <si>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</si>
  <si>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</si>
  <si>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</si>
  <si>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</si>
  <si>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</si>
  <si>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</si>
  <si>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</si>
  <si>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</si>
  <si>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</si>
  <si>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</si>
  <si>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</si>
  <si>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</si>
  <si>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</si>
  <si>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</si>
  <si>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</si>
  <si>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</si>
  <si>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</si>
  <si>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</si>
  <si>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</si>
  <si>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</si>
  <si>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</si>
  <si>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</si>
  <si>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</si>
  <si>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</si>
  <si>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</si>
  <si>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</si>
  <si>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</si>
  <si>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</si>
  <si>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</si>
  <si>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</si>
  <si>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</si>
  <si>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</si>
  <si>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</si>
  <si>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</si>
  <si>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</si>
  <si>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</si>
  <si>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</si>
  <si>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</si>
  <si>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</si>
  <si>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</si>
  <si>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</si>
  <si>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</si>
  <si>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</si>
  <si>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</si>
  <si>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</si>
  <si>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</si>
  <si>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</si>
  <si>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</si>
  <si>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</si>
  <si>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</si>
  <si>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</si>
  <si>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</si>
  <si>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</si>
  <si>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</si>
  <si>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</si>
  <si>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</si>
  <si>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</si>
  <si>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</si>
  <si>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</si>
  <si>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</si>
  <si>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</si>
  <si>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</si>
  <si>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</si>
  <si>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</si>
  <si>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</si>
  <si>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</si>
  <si>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</si>
  <si>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</si>
  <si>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</si>
  <si>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</si>
  <si>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</si>
  <si>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</si>
  <si>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</si>
  <si>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</si>
  <si>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</si>
  <si>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</si>
  <si>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</si>
  <si>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</si>
  <si>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</si>
  <si>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</si>
  <si>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</si>
  <si>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</si>
  <si>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</si>
  <si>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</si>
  <si>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</si>
  <si>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</si>
  <si>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</si>
  <si>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</si>
  <si>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</si>
  <si>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</si>
  <si>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</si>
  <si>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</si>
  <si>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</si>
  <si>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</si>
  <si>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</si>
  <si>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</si>
  <si>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</si>
  <si>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</si>
  <si>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</si>
  <si>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</si>
  <si>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</si>
  <si>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</si>
  <si>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</si>
  <si>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</si>
  <si>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</si>
  <si>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</si>
  <si>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</si>
  <si>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</si>
  <si>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</si>
  <si>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</si>
  <si>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</si>
  <si>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</si>
  <si>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</si>
  <si>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</si>
  <si>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</si>
  <si>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</si>
  <si>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</si>
  <si>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</si>
  <si>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</si>
  <si>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</si>
  <si>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</si>
  <si>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</si>
  <si>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</si>
  <si>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</si>
  <si>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</si>
  <si>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</si>
  <si>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</si>
  <si>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</si>
  <si>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</si>
  <si>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</si>
  <si>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</si>
  <si>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</si>
  <si>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</si>
  <si>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</si>
  <si>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</si>
  <si>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</si>
  <si>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</si>
  <si>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</si>
  <si>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</si>
  <si>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</si>
  <si>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</si>
  <si>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</si>
  <si>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</si>
  <si>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</si>
  <si>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</si>
  <si>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</si>
  <si>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</si>
  <si>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</si>
  <si>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</si>
  <si>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</si>
  <si>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</si>
  <si>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</si>
  <si>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</si>
  <si>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</si>
  <si>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</si>
  <si>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</si>
  <si>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</si>
  <si>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</si>
  <si>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</si>
  <si>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</si>
  <si>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</si>
  <si>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</si>
  <si>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</si>
  <si>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</si>
  <si>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</si>
  <si>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</si>
  <si>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</si>
  <si>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</si>
  <si>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</si>
  <si>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</si>
  <si>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</si>
  <si>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</si>
  <si>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</si>
  <si>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</si>
  <si>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</si>
  <si>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</si>
  <si>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</si>
  <si>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</si>
  <si>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</si>
  <si>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</si>
  <si>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</si>
  <si>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</si>
  <si>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</si>
  <si>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</si>
  <si>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</si>
  <si>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</si>
  <si>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</si>
  <si>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</si>
  <si>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</si>
  <si>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</si>
  <si>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</si>
  <si>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</si>
  <si>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</si>
  <si>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</si>
  <si>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</si>
  <si>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</si>
  <si>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01/12</t>
  </si>
  <si>
    <t>07/18</t>
  </si>
  <si>
    <t>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</si>
</sst>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513" activePane="bottomRight" state="frozen"/>
      <selection pane="topRight" activeCell="F1" sqref="F1"/>
      <selection pane="bottomLeft" activeCell="A4" sqref="A4"/>
      <selection pane="bottomRight" activeCell="H541" sqref="H541:H5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93</v>
      </c>
      <c r="C2" s="21">
        <v>93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167282.84</v>
      </c>
      <c r="G9" s="18">
        <v>69287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42738.98</v>
      </c>
      <c r="G10" s="18"/>
      <c r="H10" s="18"/>
      <c r="I10" s="18"/>
      <c r="J10" s="67">
        <f>SUM(I440)</f>
        <v>25000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114937.97</v>
      </c>
      <c r="G12" s="18">
        <v>1994.82</v>
      </c>
      <c r="H12" s="18">
        <v>60511.92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3799.62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1068.8699999999999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329828.28000000003</v>
      </c>
      <c r="G19" s="41">
        <f>SUM(G9:G18)</f>
        <v>71281.820000000007</v>
      </c>
      <c r="H19" s="41">
        <f>SUM(H9:H18)</f>
        <v>60511.92</v>
      </c>
      <c r="I19" s="41">
        <f>SUM(I9:I18)</f>
        <v>0</v>
      </c>
      <c r="J19" s="41">
        <f>SUM(J9:J18)</f>
        <v>25000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52329.62</v>
      </c>
      <c r="H22" s="18">
        <v>57536.44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61650.02</v>
      </c>
      <c r="G24" s="18"/>
      <c r="H24" s="18">
        <v>406.84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>
        <v>4083.61</v>
      </c>
      <c r="H31" s="18">
        <v>2568.64</v>
      </c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61650.02</v>
      </c>
      <c r="G32" s="41">
        <f>SUM(G22:G31)</f>
        <v>56413.23</v>
      </c>
      <c r="H32" s="41">
        <f>SUM(H22:H31)</f>
        <v>60511.92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14868.59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194883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25000</v>
      </c>
      <c r="G48" s="18"/>
      <c r="H48" s="18"/>
      <c r="I48" s="18"/>
      <c r="J48" s="13">
        <f>SUM(I459)</f>
        <v>25000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25342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22953.26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268178.26</v>
      </c>
      <c r="G51" s="41">
        <f>SUM(G35:G50)</f>
        <v>14868.59</v>
      </c>
      <c r="H51" s="41">
        <f>SUM(H35:H50)</f>
        <v>0</v>
      </c>
      <c r="I51" s="41">
        <f>SUM(I35:I50)</f>
        <v>0</v>
      </c>
      <c r="J51" s="41">
        <f>SUM(J35:J50)</f>
        <v>25000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329828.28000000003</v>
      </c>
      <c r="G52" s="41">
        <f>G51+G32</f>
        <v>71281.820000000007</v>
      </c>
      <c r="H52" s="41">
        <f>H51+H32</f>
        <v>60511.92</v>
      </c>
      <c r="I52" s="41">
        <f>I51+I32</f>
        <v>0</v>
      </c>
      <c r="J52" s="41">
        <f>J51+J32</f>
        <v>25000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6949794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6949794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7000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7000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59.72</v>
      </c>
      <c r="G96" s="18">
        <v>4.8899999999999997</v>
      </c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148311.69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12642.68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12702.4</v>
      </c>
      <c r="G111" s="41">
        <f>SUM(G96:G110)</f>
        <v>148316.58000000002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6969496.4000000004</v>
      </c>
      <c r="G112" s="41">
        <f>G60+G111</f>
        <v>148316.58000000002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2899732.3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1087439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3987171.3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90000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92303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5361.53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182303</v>
      </c>
      <c r="G136" s="41">
        <f>SUM(G123:G135)</f>
        <v>5361.53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4169474.3</v>
      </c>
      <c r="G140" s="41">
        <f>G121+SUM(G136:G137)</f>
        <v>5361.53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39888.480000000003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28215.17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28530.11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136119.72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31759.49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31759.49</v>
      </c>
      <c r="G162" s="41">
        <f>SUM(G150:G161)</f>
        <v>28530.11</v>
      </c>
      <c r="H162" s="41">
        <f>SUM(H150:H161)</f>
        <v>204223.37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31759.49</v>
      </c>
      <c r="G169" s="41">
        <f>G147+G162+SUM(G163:G168)</f>
        <v>28530.11</v>
      </c>
      <c r="H169" s="41">
        <f>H147+H162+SUM(H163:H168)</f>
        <v>204223.37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11170730.189999999</v>
      </c>
      <c r="G193" s="47">
        <f>G112+G140+G169+G192</f>
        <v>182208.22000000003</v>
      </c>
      <c r="H193" s="47">
        <f>H112+H140+H169+H192</f>
        <v>204223.37</v>
      </c>
      <c r="I193" s="47">
        <f>I112+I140+I169+I192</f>
        <v>0</v>
      </c>
      <c r="J193" s="47">
        <f>J112+J140+J192</f>
        <v>25000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1773392.94</v>
      </c>
      <c r="G197" s="18">
        <v>863325.1</v>
      </c>
      <c r="H197" s="18">
        <v>256.25</v>
      </c>
      <c r="I197" s="18">
        <v>92872.75</v>
      </c>
      <c r="J197" s="18">
        <v>10833.46</v>
      </c>
      <c r="K197" s="18"/>
      <c r="L197" s="19">
        <f>SUM(F197:K197)</f>
        <v>2740680.5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671767.56</v>
      </c>
      <c r="G198" s="18">
        <v>194300.17</v>
      </c>
      <c r="H198" s="18">
        <v>37783.33</v>
      </c>
      <c r="I198" s="18">
        <v>4889.29</v>
      </c>
      <c r="J198" s="18">
        <v>199.99</v>
      </c>
      <c r="K198" s="18"/>
      <c r="L198" s="19">
        <f>SUM(F198:K198)</f>
        <v>908940.34000000008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44953</v>
      </c>
      <c r="G200" s="18">
        <v>3379.83</v>
      </c>
      <c r="H200" s="18">
        <v>7500</v>
      </c>
      <c r="I200" s="18">
        <v>1484.13</v>
      </c>
      <c r="J200" s="18">
        <v>3526.6</v>
      </c>
      <c r="K200" s="18"/>
      <c r="L200" s="19">
        <f>SUM(F200:K200)</f>
        <v>60843.56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318402.2</v>
      </c>
      <c r="G202" s="18">
        <v>22887.62</v>
      </c>
      <c r="H202" s="18">
        <v>65772.490000000005</v>
      </c>
      <c r="I202" s="18">
        <v>12328.12</v>
      </c>
      <c r="J202" s="18"/>
      <c r="K202" s="18"/>
      <c r="L202" s="19">
        <f t="shared" ref="L202:L208" si="0">SUM(F202:K202)</f>
        <v>419390.43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117527.6</v>
      </c>
      <c r="G203" s="18">
        <v>24791.06</v>
      </c>
      <c r="H203" s="18">
        <v>94666.7</v>
      </c>
      <c r="I203" s="18">
        <v>16450.41</v>
      </c>
      <c r="J203" s="18">
        <v>71454.990000000005</v>
      </c>
      <c r="K203" s="18"/>
      <c r="L203" s="19">
        <f t="shared" si="0"/>
        <v>324890.76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306773.57</v>
      </c>
      <c r="G204" s="18">
        <v>51550.6</v>
      </c>
      <c r="H204" s="18">
        <v>41273.160000000003</v>
      </c>
      <c r="I204" s="18">
        <v>4227.18</v>
      </c>
      <c r="J204" s="18">
        <v>8536.48</v>
      </c>
      <c r="K204" s="18">
        <v>13731.05</v>
      </c>
      <c r="L204" s="19">
        <f t="shared" si="0"/>
        <v>426092.03999999992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237449.27</v>
      </c>
      <c r="G205" s="18">
        <v>369958.1</v>
      </c>
      <c r="H205" s="18">
        <v>19317.75</v>
      </c>
      <c r="I205" s="18">
        <v>22493.86</v>
      </c>
      <c r="J205" s="18">
        <v>9494.26</v>
      </c>
      <c r="K205" s="18">
        <v>3635.94</v>
      </c>
      <c r="L205" s="19">
        <f t="shared" si="0"/>
        <v>662349.17999999993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149584.06</v>
      </c>
      <c r="G207" s="18">
        <v>10650</v>
      </c>
      <c r="H207" s="18">
        <v>289411.08</v>
      </c>
      <c r="I207" s="18">
        <v>151426.34</v>
      </c>
      <c r="J207" s="18">
        <v>1169.99</v>
      </c>
      <c r="K207" s="18"/>
      <c r="L207" s="19">
        <f t="shared" si="0"/>
        <v>602241.47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277537.78999999998</v>
      </c>
      <c r="I208" s="18"/>
      <c r="J208" s="18"/>
      <c r="K208" s="18"/>
      <c r="L208" s="19">
        <f t="shared" si="0"/>
        <v>277537.78999999998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3619850.2</v>
      </c>
      <c r="G211" s="41">
        <f t="shared" si="1"/>
        <v>1540842.4800000004</v>
      </c>
      <c r="H211" s="41">
        <f t="shared" si="1"/>
        <v>833518.55</v>
      </c>
      <c r="I211" s="41">
        <f t="shared" si="1"/>
        <v>306172.07999999996</v>
      </c>
      <c r="J211" s="41">
        <f t="shared" si="1"/>
        <v>105215.77</v>
      </c>
      <c r="K211" s="41">
        <f t="shared" si="1"/>
        <v>17366.989999999998</v>
      </c>
      <c r="L211" s="41">
        <f t="shared" si="1"/>
        <v>6422966.0699999994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3644700.67</v>
      </c>
      <c r="I233" s="18"/>
      <c r="J233" s="18"/>
      <c r="K233" s="18"/>
      <c r="L233" s="19">
        <f>SUM(F233:K233)</f>
        <v>3644700.67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89651.83</v>
      </c>
      <c r="G234" s="18"/>
      <c r="H234" s="18">
        <v>543830.97</v>
      </c>
      <c r="I234" s="18"/>
      <c r="J234" s="18"/>
      <c r="K234" s="18"/>
      <c r="L234" s="19">
        <f>SUM(F234:K234)</f>
        <v>633482.79999999993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8166.45</v>
      </c>
      <c r="G238" s="18">
        <v>624.73</v>
      </c>
      <c r="H238" s="18"/>
      <c r="I238" s="18"/>
      <c r="J238" s="18"/>
      <c r="K238" s="18"/>
      <c r="L238" s="19">
        <f t="shared" ref="L238:L244" si="4">SUM(F238:K238)</f>
        <v>8791.18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248028</v>
      </c>
      <c r="I244" s="18"/>
      <c r="J244" s="18"/>
      <c r="K244" s="18"/>
      <c r="L244" s="19">
        <f t="shared" si="4"/>
        <v>248028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97818.28</v>
      </c>
      <c r="G247" s="41">
        <f t="shared" si="5"/>
        <v>624.73</v>
      </c>
      <c r="H247" s="41">
        <f t="shared" si="5"/>
        <v>4436559.6399999997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4535002.6499999994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480</v>
      </c>
      <c r="I255" s="18"/>
      <c r="J255" s="18"/>
      <c r="K255" s="18"/>
      <c r="L255" s="19">
        <f t="shared" si="6"/>
        <v>480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480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480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3717668.48</v>
      </c>
      <c r="G257" s="41">
        <f t="shared" si="8"/>
        <v>1541467.2100000004</v>
      </c>
      <c r="H257" s="41">
        <f t="shared" si="8"/>
        <v>5270558.1899999995</v>
      </c>
      <c r="I257" s="41">
        <f t="shared" si="8"/>
        <v>306172.07999999996</v>
      </c>
      <c r="J257" s="41">
        <f t="shared" si="8"/>
        <v>105215.77</v>
      </c>
      <c r="K257" s="41">
        <f t="shared" si="8"/>
        <v>17366.989999999998</v>
      </c>
      <c r="L257" s="41">
        <f t="shared" si="8"/>
        <v>10958448.719999999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315000</v>
      </c>
      <c r="L260" s="19">
        <f>SUM(F260:K260)</f>
        <v>315000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40400</v>
      </c>
      <c r="L261" s="19">
        <f>SUM(F261:K261)</f>
        <v>40400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380400</v>
      </c>
      <c r="L270" s="41">
        <f t="shared" si="9"/>
        <v>380400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3717668.48</v>
      </c>
      <c r="G271" s="42">
        <f t="shared" si="11"/>
        <v>1541467.2100000004</v>
      </c>
      <c r="H271" s="42">
        <f t="shared" si="11"/>
        <v>5270558.1899999995</v>
      </c>
      <c r="I271" s="42">
        <f t="shared" si="11"/>
        <v>306172.07999999996</v>
      </c>
      <c r="J271" s="42">
        <f t="shared" si="11"/>
        <v>105215.77</v>
      </c>
      <c r="K271" s="42">
        <f t="shared" si="11"/>
        <v>397766.99</v>
      </c>
      <c r="L271" s="42">
        <f t="shared" si="11"/>
        <v>11338848.719999999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60909.05</v>
      </c>
      <c r="G276" s="18">
        <v>3207.84</v>
      </c>
      <c r="H276" s="18">
        <v>2195.77</v>
      </c>
      <c r="I276" s="18">
        <v>1682.85</v>
      </c>
      <c r="J276" s="18"/>
      <c r="K276" s="18">
        <v>50</v>
      </c>
      <c r="L276" s="19">
        <f>SUM(F276:K276)</f>
        <v>68045.510000000009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25415.96</v>
      </c>
      <c r="G277" s="18"/>
      <c r="H277" s="18">
        <v>29847.88</v>
      </c>
      <c r="I277" s="18">
        <v>8266.4599999999991</v>
      </c>
      <c r="J277" s="18">
        <v>7413</v>
      </c>
      <c r="K277" s="18"/>
      <c r="L277" s="19">
        <f>SUM(F277:K277)</f>
        <v>70943.299999999988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86325.010000000009</v>
      </c>
      <c r="G290" s="42">
        <f t="shared" si="13"/>
        <v>3207.84</v>
      </c>
      <c r="H290" s="42">
        <f t="shared" si="13"/>
        <v>32043.65</v>
      </c>
      <c r="I290" s="42">
        <f t="shared" si="13"/>
        <v>9949.31</v>
      </c>
      <c r="J290" s="42">
        <f t="shared" si="13"/>
        <v>7413</v>
      </c>
      <c r="K290" s="42">
        <f t="shared" si="13"/>
        <v>50</v>
      </c>
      <c r="L290" s="41">
        <f t="shared" si="13"/>
        <v>138988.81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v>65234.559999999998</v>
      </c>
      <c r="I315" s="18"/>
      <c r="J315" s="18"/>
      <c r="K315" s="18"/>
      <c r="L315" s="19">
        <f>SUM(F315:K315)</f>
        <v>65234.559999999998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65234.559999999998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65234.559999999998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86325.010000000009</v>
      </c>
      <c r="G338" s="41">
        <f t="shared" si="20"/>
        <v>3207.84</v>
      </c>
      <c r="H338" s="41">
        <f t="shared" si="20"/>
        <v>97278.209999999992</v>
      </c>
      <c r="I338" s="41">
        <f t="shared" si="20"/>
        <v>9949.31</v>
      </c>
      <c r="J338" s="41">
        <f t="shared" si="20"/>
        <v>7413</v>
      </c>
      <c r="K338" s="41">
        <f t="shared" si="20"/>
        <v>50</v>
      </c>
      <c r="L338" s="41">
        <f t="shared" si="20"/>
        <v>204223.37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86325.010000000009</v>
      </c>
      <c r="G352" s="41">
        <f>G338</f>
        <v>3207.84</v>
      </c>
      <c r="H352" s="41">
        <f>H338</f>
        <v>97278.209999999992</v>
      </c>
      <c r="I352" s="41">
        <f>I338</f>
        <v>9949.31</v>
      </c>
      <c r="J352" s="41">
        <f>J338</f>
        <v>7413</v>
      </c>
      <c r="K352" s="47">
        <f>K338+K351</f>
        <v>50</v>
      </c>
      <c r="L352" s="41">
        <f>L338+L351</f>
        <v>204223.37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63420.69</v>
      </c>
      <c r="G358" s="18">
        <v>13341.03</v>
      </c>
      <c r="H358" s="18">
        <v>769.14</v>
      </c>
      <c r="I358" s="18">
        <v>81318.009999999995</v>
      </c>
      <c r="J358" s="18">
        <v>5002.1499999999996</v>
      </c>
      <c r="K358" s="18"/>
      <c r="L358" s="13">
        <f>SUM(F358:K358)</f>
        <v>163851.01999999999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63420.69</v>
      </c>
      <c r="G362" s="47">
        <f t="shared" si="22"/>
        <v>13341.03</v>
      </c>
      <c r="H362" s="47">
        <f t="shared" si="22"/>
        <v>769.14</v>
      </c>
      <c r="I362" s="47">
        <f t="shared" si="22"/>
        <v>81318.009999999995</v>
      </c>
      <c r="J362" s="47">
        <f t="shared" si="22"/>
        <v>5002.1499999999996</v>
      </c>
      <c r="K362" s="47">
        <f t="shared" si="22"/>
        <v>0</v>
      </c>
      <c r="L362" s="47">
        <f t="shared" si="22"/>
        <v>163851.01999999999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81318.009999999995</v>
      </c>
      <c r="G367" s="18"/>
      <c r="H367" s="18"/>
      <c r="I367" s="56">
        <f>SUM(F367:H367)</f>
        <v>81318.009999999995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81318.009999999995</v>
      </c>
      <c r="G369" s="47">
        <f>SUM(G367:G368)</f>
        <v>0</v>
      </c>
      <c r="H369" s="47">
        <f>SUM(H367:H368)</f>
        <v>0</v>
      </c>
      <c r="I369" s="47">
        <f>SUM(I367:I368)</f>
        <v>81318.009999999995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/>
      <c r="I396" s="18"/>
      <c r="J396" s="24" t="s">
        <v>289</v>
      </c>
      <c r="K396" s="24" t="s">
        <v>289</v>
      </c>
      <c r="L396" s="56">
        <f t="shared" si="26"/>
        <v>25000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v>25000</v>
      </c>
      <c r="I440" s="56">
        <f t="shared" si="33"/>
        <v>25000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25000</v>
      </c>
      <c r="I446" s="13">
        <f>SUM(I439:I445)</f>
        <v>25000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>
        <v>25000</v>
      </c>
      <c r="I459" s="56">
        <f t="shared" si="34"/>
        <v>25000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25000</v>
      </c>
      <c r="I460" s="83">
        <f>SUM(I454:I459)</f>
        <v>25000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25000</v>
      </c>
      <c r="I461" s="42">
        <f>I452+I460</f>
        <v>25000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436776.79</v>
      </c>
      <c r="G465" s="18"/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11170730.189999999</v>
      </c>
      <c r="G468" s="18">
        <v>182208.22099999999</v>
      </c>
      <c r="H468" s="18">
        <v>204223.37</v>
      </c>
      <c r="I468" s="18"/>
      <c r="J468" s="18">
        <v>25000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11170730.189999999</v>
      </c>
      <c r="G470" s="53">
        <f>SUM(G468:G469)</f>
        <v>182208.22099999999</v>
      </c>
      <c r="H470" s="53">
        <f>SUM(H468:H469)</f>
        <v>204223.37</v>
      </c>
      <c r="I470" s="53">
        <f>SUM(I468:I469)</f>
        <v>0</v>
      </c>
      <c r="J470" s="53">
        <f>SUM(J468:J469)</f>
        <v>25000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11338848.720000001</v>
      </c>
      <c r="G472" s="18">
        <v>163851.01999999999</v>
      </c>
      <c r="H472" s="18">
        <v>204223.37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480</v>
      </c>
      <c r="G473" s="18">
        <v>3488.61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11339328.720000001</v>
      </c>
      <c r="G474" s="53">
        <f>SUM(G472:G473)</f>
        <v>167339.62999999998</v>
      </c>
      <c r="H474" s="53">
        <f>SUM(H472:H473)</f>
        <v>204223.37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268178.25999999791</v>
      </c>
      <c r="G476" s="53">
        <f>(G465+G470)- G474</f>
        <v>14868.591000000015</v>
      </c>
      <c r="H476" s="53">
        <f>(H465+H470)- H474</f>
        <v>0</v>
      </c>
      <c r="I476" s="53">
        <f>(I465+I470)- I474</f>
        <v>0</v>
      </c>
      <c r="J476" s="53">
        <f>(J465+J470)- J474</f>
        <v>25000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2076000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1.24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1760000</v>
      </c>
      <c r="G495" s="18"/>
      <c r="H495" s="18"/>
      <c r="I495" s="18"/>
      <c r="J495" s="18"/>
      <c r="K495" s="53">
        <f>SUM(F495:J495)</f>
        <v>1760000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355400</v>
      </c>
      <c r="G497" s="18"/>
      <c r="H497" s="18"/>
      <c r="I497" s="18"/>
      <c r="J497" s="18"/>
      <c r="K497" s="53">
        <f t="shared" si="35"/>
        <v>355400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1445000</v>
      </c>
      <c r="G498" s="204"/>
      <c r="H498" s="204"/>
      <c r="I498" s="204"/>
      <c r="J498" s="204"/>
      <c r="K498" s="205">
        <f t="shared" si="35"/>
        <v>1445000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98875</v>
      </c>
      <c r="G499" s="18"/>
      <c r="H499" s="18"/>
      <c r="I499" s="18"/>
      <c r="J499" s="18"/>
      <c r="K499" s="53">
        <f t="shared" si="35"/>
        <v>98875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1543875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1543875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300000</v>
      </c>
      <c r="G501" s="204"/>
      <c r="H501" s="204"/>
      <c r="I501" s="204"/>
      <c r="J501" s="204"/>
      <c r="K501" s="205">
        <f t="shared" si="35"/>
        <v>300000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28050</v>
      </c>
      <c r="G502" s="18"/>
      <c r="H502" s="18"/>
      <c r="I502" s="18"/>
      <c r="J502" s="18"/>
      <c r="K502" s="53">
        <f t="shared" si="35"/>
        <v>28050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328050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328050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671767.56</v>
      </c>
      <c r="G521" s="18">
        <v>175043.3</v>
      </c>
      <c r="H521" s="18">
        <v>37794.93</v>
      </c>
      <c r="I521" s="18">
        <v>4889.29</v>
      </c>
      <c r="J521" s="18">
        <v>199.99</v>
      </c>
      <c r="K521" s="18"/>
      <c r="L521" s="88">
        <f>SUM(F521:K521)</f>
        <v>889695.07000000018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89651.83</v>
      </c>
      <c r="G523" s="18"/>
      <c r="H523" s="18">
        <v>543830.97</v>
      </c>
      <c r="I523" s="18"/>
      <c r="J523" s="18"/>
      <c r="K523" s="18"/>
      <c r="L523" s="88">
        <f>SUM(F523:K523)</f>
        <v>633482.79999999993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761419.39</v>
      </c>
      <c r="G524" s="108">
        <f t="shared" ref="G524:L524" si="36">SUM(G521:G523)</f>
        <v>175043.3</v>
      </c>
      <c r="H524" s="108">
        <f t="shared" si="36"/>
        <v>581625.9</v>
      </c>
      <c r="I524" s="108">
        <f t="shared" si="36"/>
        <v>4889.29</v>
      </c>
      <c r="J524" s="108">
        <f t="shared" si="36"/>
        <v>199.99</v>
      </c>
      <c r="K524" s="108">
        <f t="shared" si="36"/>
        <v>0</v>
      </c>
      <c r="L524" s="89">
        <f t="shared" si="36"/>
        <v>1523177.87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184212.57</v>
      </c>
      <c r="G526" s="18">
        <v>18693.18</v>
      </c>
      <c r="H526" s="18"/>
      <c r="I526" s="18">
        <v>692.19</v>
      </c>
      <c r="J526" s="18"/>
      <c r="K526" s="18"/>
      <c r="L526" s="88">
        <f>SUM(F526:K526)</f>
        <v>203597.94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7368.5</v>
      </c>
      <c r="G528" s="18">
        <v>563.69000000000005</v>
      </c>
      <c r="H528" s="18"/>
      <c r="I528" s="18"/>
      <c r="J528" s="18"/>
      <c r="K528" s="18"/>
      <c r="L528" s="88">
        <f>SUM(F528:K528)</f>
        <v>7932.1900000000005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191581.07</v>
      </c>
      <c r="G529" s="89">
        <f t="shared" ref="G529:L529" si="37">SUM(G526:G528)</f>
        <v>19256.87</v>
      </c>
      <c r="H529" s="89">
        <f t="shared" si="37"/>
        <v>0</v>
      </c>
      <c r="I529" s="89">
        <f t="shared" si="37"/>
        <v>692.19</v>
      </c>
      <c r="J529" s="89">
        <f t="shared" si="37"/>
        <v>0</v>
      </c>
      <c r="K529" s="89">
        <f t="shared" si="37"/>
        <v>0</v>
      </c>
      <c r="L529" s="89">
        <f t="shared" si="37"/>
        <v>211530.13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67511.33</v>
      </c>
      <c r="G531" s="18">
        <v>5164.6099999999997</v>
      </c>
      <c r="H531" s="18"/>
      <c r="I531" s="18"/>
      <c r="J531" s="18"/>
      <c r="K531" s="18"/>
      <c r="L531" s="88">
        <f>SUM(F531:K531)</f>
        <v>72675.94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45007.55</v>
      </c>
      <c r="G533" s="18"/>
      <c r="H533" s="18"/>
      <c r="I533" s="18"/>
      <c r="J533" s="18"/>
      <c r="K533" s="18"/>
      <c r="L533" s="88">
        <f>SUM(F533:K533)</f>
        <v>45007.55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112518.88</v>
      </c>
      <c r="G534" s="89">
        <f t="shared" ref="G534:L534" si="38">SUM(G531:G533)</f>
        <v>5164.6099999999997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117683.49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53179.64</v>
      </c>
      <c r="I541" s="18"/>
      <c r="J541" s="18"/>
      <c r="K541" s="18"/>
      <c r="L541" s="88">
        <f>SUM(F541:K541)</f>
        <v>53179.64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105228</v>
      </c>
      <c r="I543" s="18"/>
      <c r="J543" s="18"/>
      <c r="K543" s="18"/>
      <c r="L543" s="88">
        <f>SUM(F543:K543)</f>
        <v>105228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158407.64000000001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158407.64000000001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1065519.3399999999</v>
      </c>
      <c r="G545" s="89">
        <f t="shared" ref="G545:L545" si="41">G524+G529+G534+G539+G544</f>
        <v>199464.77999999997</v>
      </c>
      <c r="H545" s="89">
        <f t="shared" si="41"/>
        <v>740033.54</v>
      </c>
      <c r="I545" s="89">
        <f t="shared" si="41"/>
        <v>5581.48</v>
      </c>
      <c r="J545" s="89">
        <f t="shared" si="41"/>
        <v>199.99</v>
      </c>
      <c r="K545" s="89">
        <f t="shared" si="41"/>
        <v>0</v>
      </c>
      <c r="L545" s="89">
        <f t="shared" si="41"/>
        <v>2010799.13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889695.07000000018</v>
      </c>
      <c r="G549" s="87">
        <f>L526</f>
        <v>203597.94</v>
      </c>
      <c r="H549" s="87">
        <f>L531</f>
        <v>72675.94</v>
      </c>
      <c r="I549" s="87">
        <f>L536</f>
        <v>0</v>
      </c>
      <c r="J549" s="87">
        <f>L541</f>
        <v>53179.64</v>
      </c>
      <c r="K549" s="87">
        <f>SUM(F549:J549)</f>
        <v>1219148.5900000001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633482.79999999993</v>
      </c>
      <c r="G551" s="87">
        <f>L528</f>
        <v>7932.1900000000005</v>
      </c>
      <c r="H551" s="87">
        <f>L533</f>
        <v>45007.55</v>
      </c>
      <c r="I551" s="87">
        <f>L538</f>
        <v>0</v>
      </c>
      <c r="J551" s="87">
        <f>L543</f>
        <v>105228</v>
      </c>
      <c r="K551" s="87">
        <f>SUM(F551:J551)</f>
        <v>791650.53999999992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1523177.87</v>
      </c>
      <c r="G552" s="89">
        <f t="shared" si="42"/>
        <v>211530.13</v>
      </c>
      <c r="H552" s="89">
        <f t="shared" si="42"/>
        <v>117683.49</v>
      </c>
      <c r="I552" s="89">
        <f t="shared" si="42"/>
        <v>0</v>
      </c>
      <c r="J552" s="89">
        <f t="shared" si="42"/>
        <v>158407.64000000001</v>
      </c>
      <c r="K552" s="89">
        <f t="shared" si="42"/>
        <v>2010799.13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3644700.67</v>
      </c>
      <c r="I577" s="87">
        <f t="shared" si="47"/>
        <v>3644700.67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382491.75</v>
      </c>
      <c r="I581" s="87">
        <f t="shared" si="47"/>
        <v>382491.75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161339.22</v>
      </c>
      <c r="I582" s="87">
        <f t="shared" si="47"/>
        <v>161339.22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212434</v>
      </c>
      <c r="I591" s="18"/>
      <c r="J591" s="18">
        <v>142800</v>
      </c>
      <c r="K591" s="104">
        <f t="shared" ref="K591:K597" si="48">SUM(H591:J591)</f>
        <v>355234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53179.64</v>
      </c>
      <c r="I592" s="18"/>
      <c r="J592" s="18">
        <v>105228</v>
      </c>
      <c r="K592" s="104">
        <f t="shared" si="48"/>
        <v>158407.64000000001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7874.15</v>
      </c>
      <c r="I594" s="18"/>
      <c r="J594" s="18"/>
      <c r="K594" s="104">
        <f t="shared" si="48"/>
        <v>7874.15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4050</v>
      </c>
      <c r="I596" s="18"/>
      <c r="J596" s="18"/>
      <c r="K596" s="104">
        <f t="shared" si="48"/>
        <v>4050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277537.79000000004</v>
      </c>
      <c r="I598" s="108">
        <f>SUM(I591:I597)</f>
        <v>0</v>
      </c>
      <c r="J598" s="108">
        <f>SUM(J591:J597)</f>
        <v>248028</v>
      </c>
      <c r="K598" s="108">
        <f>SUM(K591:K597)</f>
        <v>525565.79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112628.77</v>
      </c>
      <c r="I604" s="18"/>
      <c r="J604" s="18"/>
      <c r="K604" s="104">
        <f>SUM(H604:J604)</f>
        <v>112628.77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112628.77</v>
      </c>
      <c r="I605" s="108">
        <f>SUM(I602:I604)</f>
        <v>0</v>
      </c>
      <c r="J605" s="108">
        <f>SUM(J602:J604)</f>
        <v>0</v>
      </c>
      <c r="K605" s="108">
        <f>SUM(K602:K604)</f>
        <v>112628.77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329828.28000000003</v>
      </c>
      <c r="H617" s="109">
        <f>SUM(F52)</f>
        <v>329828.28000000003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71281.820000000007</v>
      </c>
      <c r="H618" s="109">
        <f>SUM(G52)</f>
        <v>71281.820000000007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60511.92</v>
      </c>
      <c r="H619" s="109">
        <f>SUM(H52)</f>
        <v>60511.92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25000</v>
      </c>
      <c r="H621" s="109">
        <f>SUM(J52)</f>
        <v>25000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268178.26</v>
      </c>
      <c r="H622" s="109">
        <f>F476</f>
        <v>268178.25999999791</v>
      </c>
      <c r="I622" s="121" t="s">
        <v>101</v>
      </c>
      <c r="J622" s="109">
        <f t="shared" ref="J622:J655" si="50">G622-H622</f>
        <v>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14868.59</v>
      </c>
      <c r="H623" s="109">
        <f>G476</f>
        <v>14868.591000000015</v>
      </c>
      <c r="I623" s="121" t="s">
        <v>102</v>
      </c>
      <c r="J623" s="109">
        <f t="shared" si="50"/>
        <v>-1.000000014755642E-3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25000</v>
      </c>
      <c r="H626" s="109">
        <f>J476</f>
        <v>25000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11170730.189999999</v>
      </c>
      <c r="H627" s="104">
        <f>SUM(F468)</f>
        <v>11170730.189999999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182208.22000000003</v>
      </c>
      <c r="H628" s="104">
        <f>SUM(G468)</f>
        <v>182208.22099999999</v>
      </c>
      <c r="I628" s="140" t="s">
        <v>107</v>
      </c>
      <c r="J628" s="109">
        <f>G628-H628</f>
        <v>-9.9999996018595994E-4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204223.37</v>
      </c>
      <c r="H629" s="104">
        <f>SUM(H468)</f>
        <v>204223.37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25000</v>
      </c>
      <c r="H631" s="104">
        <f>SUM(J468)</f>
        <v>25000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11338848.719999999</v>
      </c>
      <c r="H632" s="104">
        <f>SUM(F472)</f>
        <v>11338848.720000001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204223.37</v>
      </c>
      <c r="H633" s="104">
        <f>SUM(H472)</f>
        <v>204223.37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81318.009999999995</v>
      </c>
      <c r="H634" s="104">
        <f>I369</f>
        <v>81318.009999999995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163851.01999999999</v>
      </c>
      <c r="H635" s="104">
        <f>SUM(G472)</f>
        <v>163851.01999999999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25000</v>
      </c>
      <c r="H637" s="164">
        <f>SUM(J468)</f>
        <v>25000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25000</v>
      </c>
      <c r="H641" s="104">
        <f>SUM(H461)</f>
        <v>25000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25000</v>
      </c>
      <c r="H642" s="104">
        <f>SUM(I461)</f>
        <v>25000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25000</v>
      </c>
      <c r="H646" s="104">
        <f>L408</f>
        <v>25000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525565.79</v>
      </c>
      <c r="H647" s="104">
        <f>L208+L226+L244</f>
        <v>525565.79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112628.77</v>
      </c>
      <c r="H648" s="104">
        <f>(J257+J338)-(J255+J336)</f>
        <v>112628.77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277537.78999999998</v>
      </c>
      <c r="H649" s="104">
        <f>H598</f>
        <v>277537.79000000004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248028</v>
      </c>
      <c r="H651" s="104">
        <f>J598</f>
        <v>248028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-2.0000003278255463E-3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6725805.8999999985</v>
      </c>
      <c r="G660" s="19">
        <f>(L229+L309+L359)</f>
        <v>0</v>
      </c>
      <c r="H660" s="19">
        <f>(L247+L328+L360)</f>
        <v>4600237.209999999</v>
      </c>
      <c r="I660" s="19">
        <f>SUM(F660:H660)</f>
        <v>11326043.109999998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148311.69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148311.69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277537.78999999998</v>
      </c>
      <c r="G662" s="19">
        <f>(L226+L306)-(J226+J306)</f>
        <v>0</v>
      </c>
      <c r="H662" s="19">
        <f>(L244+L325)-(J244+J325)</f>
        <v>248028</v>
      </c>
      <c r="I662" s="19">
        <f>SUM(F662:H662)</f>
        <v>525565.79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112628.77</v>
      </c>
      <c r="G663" s="199">
        <f>SUM(G575:G587)+SUM(I602:I604)+L612</f>
        <v>0</v>
      </c>
      <c r="H663" s="199">
        <f>SUM(H575:H587)+SUM(J602:J604)+L613</f>
        <v>4188531.64</v>
      </c>
      <c r="I663" s="19">
        <f>SUM(F663:H663)</f>
        <v>4301160.41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6187327.6499999985</v>
      </c>
      <c r="G664" s="19">
        <f>G660-SUM(G661:G663)</f>
        <v>0</v>
      </c>
      <c r="H664" s="19">
        <f>H660-SUM(H661:H663)</f>
        <v>163677.56999999844</v>
      </c>
      <c r="I664" s="19">
        <f>I660-SUM(I661:I663)</f>
        <v>6351005.2199999969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521.51</v>
      </c>
      <c r="G665" s="248"/>
      <c r="H665" s="248"/>
      <c r="I665" s="19">
        <f>SUM(F665:H665)</f>
        <v>521.51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11864.26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12178.11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-163677.57</v>
      </c>
      <c r="I669" s="19">
        <f>SUM(F669:H669)</f>
        <v>-163677.57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11864.26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11864.26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K40" sqref="K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Chester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1834301.99</v>
      </c>
      <c r="C9" s="229">
        <f>'DOE25'!G197+'DOE25'!G215+'DOE25'!G233+'DOE25'!G276+'DOE25'!G295+'DOE25'!G314</f>
        <v>866532.94</v>
      </c>
    </row>
    <row r="10" spans="1:3" x14ac:dyDescent="0.2">
      <c r="A10" t="s">
        <v>779</v>
      </c>
      <c r="B10" s="240">
        <v>1834301.99</v>
      </c>
      <c r="C10" s="240">
        <v>866532.94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1834301.99</v>
      </c>
      <c r="C13" s="231">
        <f>SUM(C10:C12)</f>
        <v>866532.94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786835.35</v>
      </c>
      <c r="C18" s="229">
        <f>'DOE25'!G198+'DOE25'!G216+'DOE25'!G234+'DOE25'!G277+'DOE25'!G296+'DOE25'!G315</f>
        <v>194300.17</v>
      </c>
    </row>
    <row r="19" spans="1:3" x14ac:dyDescent="0.2">
      <c r="A19" t="s">
        <v>779</v>
      </c>
      <c r="B19" s="240">
        <v>317901.81</v>
      </c>
      <c r="C19" s="240">
        <v>194300.17</v>
      </c>
    </row>
    <row r="20" spans="1:3" x14ac:dyDescent="0.2">
      <c r="A20" t="s">
        <v>780</v>
      </c>
      <c r="B20" s="240">
        <v>448702.04</v>
      </c>
      <c r="C20" s="240"/>
    </row>
    <row r="21" spans="1:3" x14ac:dyDescent="0.2">
      <c r="A21" t="s">
        <v>781</v>
      </c>
      <c r="B21" s="240">
        <v>20231.5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786835.35</v>
      </c>
      <c r="C22" s="231">
        <f>SUM(C19:C21)</f>
        <v>194300.17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44953</v>
      </c>
      <c r="C36" s="235">
        <f>'DOE25'!G200+'DOE25'!G218+'DOE25'!G236+'DOE25'!G279+'DOE25'!G298+'DOE25'!G317</f>
        <v>3379.83</v>
      </c>
    </row>
    <row r="37" spans="1:3" x14ac:dyDescent="0.2">
      <c r="A37" t="s">
        <v>779</v>
      </c>
      <c r="B37" s="240">
        <v>44953</v>
      </c>
      <c r="C37" s="240">
        <v>3379.83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44953</v>
      </c>
      <c r="C40" s="231">
        <f>SUM(C37:C39)</f>
        <v>3379.83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Chester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7988647.8699999992</v>
      </c>
      <c r="D5" s="20">
        <f>SUM('DOE25'!L197:L200)+SUM('DOE25'!L215:L218)+SUM('DOE25'!L233:L236)-F5-G5</f>
        <v>7974087.8199999994</v>
      </c>
      <c r="E5" s="243"/>
      <c r="F5" s="255">
        <f>SUM('DOE25'!J197:J200)+SUM('DOE25'!J215:J218)+SUM('DOE25'!J233:J236)</f>
        <v>14560.05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428181.61</v>
      </c>
      <c r="D6" s="20">
        <f>'DOE25'!L202+'DOE25'!L220+'DOE25'!L238-F6-G6</f>
        <v>428181.61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324890.76</v>
      </c>
      <c r="D7" s="20">
        <f>'DOE25'!L203+'DOE25'!L221+'DOE25'!L239-F7-G7</f>
        <v>253435.77000000002</v>
      </c>
      <c r="E7" s="243"/>
      <c r="F7" s="255">
        <f>'DOE25'!J203+'DOE25'!J221+'DOE25'!J239</f>
        <v>71454.990000000005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262450.94</v>
      </c>
      <c r="D8" s="243"/>
      <c r="E8" s="20">
        <f>'DOE25'!L204+'DOE25'!L222+'DOE25'!L240-F8-G8-D9-D11</f>
        <v>240183.40999999997</v>
      </c>
      <c r="F8" s="255">
        <f>'DOE25'!J204+'DOE25'!J222+'DOE25'!J240</f>
        <v>8536.48</v>
      </c>
      <c r="G8" s="53">
        <f>'DOE25'!K204+'DOE25'!K222+'DOE25'!K240</f>
        <v>13731.05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40439.11</v>
      </c>
      <c r="D9" s="244">
        <v>40439.11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12480.5</v>
      </c>
      <c r="D10" s="243"/>
      <c r="E10" s="244">
        <v>12480.5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123201.99</v>
      </c>
      <c r="D11" s="244">
        <v>123201.99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662349.17999999993</v>
      </c>
      <c r="D12" s="20">
        <f>'DOE25'!L205+'DOE25'!L223+'DOE25'!L241-F12-G12</f>
        <v>649218.98</v>
      </c>
      <c r="E12" s="243"/>
      <c r="F12" s="255">
        <f>'DOE25'!J205+'DOE25'!J223+'DOE25'!J241</f>
        <v>9494.26</v>
      </c>
      <c r="G12" s="53">
        <f>'DOE25'!K205+'DOE25'!K223+'DOE25'!K241</f>
        <v>3635.94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602241.47</v>
      </c>
      <c r="D14" s="20">
        <f>'DOE25'!L207+'DOE25'!L225+'DOE25'!L243-F14-G14</f>
        <v>601071.48</v>
      </c>
      <c r="E14" s="243"/>
      <c r="F14" s="255">
        <f>'DOE25'!J207+'DOE25'!J225+'DOE25'!J243</f>
        <v>1169.99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525565.79</v>
      </c>
      <c r="D15" s="20">
        <f>'DOE25'!L208+'DOE25'!L226+'DOE25'!L244-F15-G15</f>
        <v>525565.79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480</v>
      </c>
      <c r="D22" s="243"/>
      <c r="E22" s="243"/>
      <c r="F22" s="255">
        <f>'DOE25'!L255+'DOE25'!L336</f>
        <v>480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355400</v>
      </c>
      <c r="D25" s="243"/>
      <c r="E25" s="243"/>
      <c r="F25" s="258"/>
      <c r="G25" s="256"/>
      <c r="H25" s="257">
        <f>'DOE25'!L260+'DOE25'!L261+'DOE25'!L341+'DOE25'!L342</f>
        <v>355400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82533.009999999995</v>
      </c>
      <c r="D29" s="20">
        <f>'DOE25'!L358+'DOE25'!L359+'DOE25'!L360-'DOE25'!I367-F29-G29</f>
        <v>77530.86</v>
      </c>
      <c r="E29" s="243"/>
      <c r="F29" s="255">
        <f>'DOE25'!J358+'DOE25'!J359+'DOE25'!J360</f>
        <v>5002.1499999999996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204223.37</v>
      </c>
      <c r="D31" s="20">
        <f>'DOE25'!L290+'DOE25'!L309+'DOE25'!L328+'DOE25'!L333+'DOE25'!L334+'DOE25'!L335-F31-G31</f>
        <v>196760.37</v>
      </c>
      <c r="E31" s="243"/>
      <c r="F31" s="255">
        <f>'DOE25'!J290+'DOE25'!J309+'DOE25'!J328+'DOE25'!J333+'DOE25'!J334+'DOE25'!J335</f>
        <v>7413</v>
      </c>
      <c r="G31" s="53">
        <f>'DOE25'!K290+'DOE25'!K309+'DOE25'!K328+'DOE25'!K333+'DOE25'!K334+'DOE25'!K335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10869493.779999999</v>
      </c>
      <c r="E33" s="246">
        <f>SUM(E5:E31)</f>
        <v>252663.90999999997</v>
      </c>
      <c r="F33" s="246">
        <f>SUM(F5:F31)</f>
        <v>118110.92</v>
      </c>
      <c r="G33" s="246">
        <f>SUM(G5:G31)</f>
        <v>17416.989999999998</v>
      </c>
      <c r="H33" s="246">
        <f>SUM(H5:H31)</f>
        <v>355400</v>
      </c>
    </row>
    <row r="35" spans="2:8" ht="12" thickBot="1" x14ac:dyDescent="0.25">
      <c r="B35" s="253" t="s">
        <v>847</v>
      </c>
      <c r="D35" s="254">
        <f>E33</f>
        <v>252663.90999999997</v>
      </c>
      <c r="E35" s="249"/>
    </row>
    <row r="36" spans="2:8" ht="12" thickTop="1" x14ac:dyDescent="0.2">
      <c r="B36" t="s">
        <v>815</v>
      </c>
      <c r="D36" s="20">
        <f>D33</f>
        <v>10869493.779999999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9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167282.84</v>
      </c>
      <c r="D8" s="95">
        <f>'DOE25'!G9</f>
        <v>69287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42738.98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25000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114937.97</v>
      </c>
      <c r="D11" s="95">
        <f>'DOE25'!G12</f>
        <v>1994.82</v>
      </c>
      <c r="E11" s="95">
        <f>'DOE25'!H12</f>
        <v>60511.92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3799.62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1068.8699999999999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329828.28000000003</v>
      </c>
      <c r="D18" s="41">
        <f>SUM(D8:D17)</f>
        <v>71281.820000000007</v>
      </c>
      <c r="E18" s="41">
        <f>SUM(E8:E17)</f>
        <v>60511.92</v>
      </c>
      <c r="F18" s="41">
        <f>SUM(F8:F17)</f>
        <v>0</v>
      </c>
      <c r="G18" s="41">
        <f>SUM(G8:G17)</f>
        <v>25000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52329.62</v>
      </c>
      <c r="E21" s="95">
        <f>'DOE25'!H22</f>
        <v>57536.44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61650.02</v>
      </c>
      <c r="D23" s="95">
        <f>'DOE25'!G24</f>
        <v>0</v>
      </c>
      <c r="E23" s="95">
        <f>'DOE25'!H24</f>
        <v>406.84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4083.61</v>
      </c>
      <c r="E30" s="95">
        <f>'DOE25'!H31</f>
        <v>2568.64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61650.02</v>
      </c>
      <c r="D31" s="41">
        <f>SUM(D21:D30)</f>
        <v>56413.23</v>
      </c>
      <c r="E31" s="41">
        <f>SUM(E21:E30)</f>
        <v>60511.92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14868.59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194883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25000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25000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25342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22953.26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268178.26</v>
      </c>
      <c r="D50" s="41">
        <f>SUM(D34:D49)</f>
        <v>14868.59</v>
      </c>
      <c r="E50" s="41">
        <f>SUM(E34:E49)</f>
        <v>0</v>
      </c>
      <c r="F50" s="41">
        <f>SUM(F34:F49)</f>
        <v>0</v>
      </c>
      <c r="G50" s="41">
        <f>SUM(G34:G49)</f>
        <v>25000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329828.28000000003</v>
      </c>
      <c r="D51" s="41">
        <f>D50+D31</f>
        <v>71281.820000000007</v>
      </c>
      <c r="E51" s="41">
        <f>E50+E31</f>
        <v>60511.92</v>
      </c>
      <c r="F51" s="41">
        <f>F50+F31</f>
        <v>0</v>
      </c>
      <c r="G51" s="41">
        <f>G50+G31</f>
        <v>25000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6949794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7000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59.72</v>
      </c>
      <c r="D59" s="95">
        <f>'DOE25'!G96</f>
        <v>4.8899999999999997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148311.69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12642.68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19702.400000000001</v>
      </c>
      <c r="D62" s="130">
        <f>SUM(D57:D61)</f>
        <v>148316.58000000002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6969496.4000000004</v>
      </c>
      <c r="D63" s="22">
        <f>D56+D62</f>
        <v>148316.58000000002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2899732.3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1087439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3987171.3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90000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92303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5361.53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182303</v>
      </c>
      <c r="D78" s="130">
        <f>SUM(D72:D77)</f>
        <v>5361.53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4169474.3</v>
      </c>
      <c r="D81" s="130">
        <f>SUM(D79:D80)+D78+D70</f>
        <v>5361.53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31759.49</v>
      </c>
      <c r="D88" s="95">
        <f>SUM('DOE25'!G153:G161)</f>
        <v>28530.11</v>
      </c>
      <c r="E88" s="95">
        <f>SUM('DOE25'!H153:H161)</f>
        <v>204223.37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31759.49</v>
      </c>
      <c r="D91" s="131">
        <f>SUM(D85:D90)</f>
        <v>28530.11</v>
      </c>
      <c r="E91" s="131">
        <f>SUM(E85:E90)</f>
        <v>204223.37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11170730.189999999</v>
      </c>
      <c r="D104" s="86">
        <f>D63+D81+D91+D103</f>
        <v>182208.22000000003</v>
      </c>
      <c r="E104" s="86">
        <f>E63+E81+E91+E103</f>
        <v>204223.37</v>
      </c>
      <c r="F104" s="86">
        <f>F63+F81+F91+F103</f>
        <v>0</v>
      </c>
      <c r="G104" s="86">
        <f>G63+G81+G103</f>
        <v>25000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6385381.1699999999</v>
      </c>
      <c r="D109" s="24" t="s">
        <v>289</v>
      </c>
      <c r="E109" s="95">
        <f>('DOE25'!L276)+('DOE25'!L295)+('DOE25'!L314)</f>
        <v>68045.510000000009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1542423.1400000001</v>
      </c>
      <c r="D110" s="24" t="s">
        <v>289</v>
      </c>
      <c r="E110" s="95">
        <f>('DOE25'!L277)+('DOE25'!L296)+('DOE25'!L315)</f>
        <v>136177.85999999999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60843.56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7988647.8700000001</v>
      </c>
      <c r="D115" s="86">
        <f>SUM(D109:D114)</f>
        <v>0</v>
      </c>
      <c r="E115" s="86">
        <f>SUM(E109:E114)</f>
        <v>204223.37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428181.61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324890.76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426092.03999999992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662349.17999999993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602241.47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525565.79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163851.01999999999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2969320.8499999996</v>
      </c>
      <c r="D128" s="86">
        <f>SUM(D118:D127)</f>
        <v>163851.01999999999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480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315000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40400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380880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11338848.719999999</v>
      </c>
      <c r="D145" s="86">
        <f>(D115+D128+D144)</f>
        <v>163851.01999999999</v>
      </c>
      <c r="E145" s="86">
        <f>(E115+E128+E144)</f>
        <v>204223.37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01/12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2076000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1.24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1760000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1760000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355400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355400</v>
      </c>
    </row>
    <row r="159" spans="1:9" x14ac:dyDescent="0.2">
      <c r="A159" s="22" t="s">
        <v>35</v>
      </c>
      <c r="B159" s="137">
        <f>'DOE25'!F498</f>
        <v>1445000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1445000</v>
      </c>
    </row>
    <row r="160" spans="1:9" x14ac:dyDescent="0.2">
      <c r="A160" s="22" t="s">
        <v>36</v>
      </c>
      <c r="B160" s="137">
        <f>'DOE25'!F499</f>
        <v>98875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98875</v>
      </c>
    </row>
    <row r="161" spans="1:7" x14ac:dyDescent="0.2">
      <c r="A161" s="22" t="s">
        <v>37</v>
      </c>
      <c r="B161" s="137">
        <f>'DOE25'!F500</f>
        <v>1543875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1543875</v>
      </c>
    </row>
    <row r="162" spans="1:7" x14ac:dyDescent="0.2">
      <c r="A162" s="22" t="s">
        <v>38</v>
      </c>
      <c r="B162" s="137">
        <f>'DOE25'!F501</f>
        <v>300000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300000</v>
      </c>
    </row>
    <row r="163" spans="1:7" x14ac:dyDescent="0.2">
      <c r="A163" s="22" t="s">
        <v>39</v>
      </c>
      <c r="B163" s="137">
        <f>'DOE25'!F502</f>
        <v>28050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28050</v>
      </c>
    </row>
    <row r="164" spans="1:7" x14ac:dyDescent="0.2">
      <c r="A164" s="22" t="s">
        <v>246</v>
      </c>
      <c r="B164" s="137">
        <f>'DOE25'!F503</f>
        <v>328050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328050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Chester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11864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11864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6453427</v>
      </c>
      <c r="D10" s="182">
        <f>ROUND((C10/$C$28)*100,1)</f>
        <v>57.5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1678601</v>
      </c>
      <c r="D11" s="182">
        <f>ROUND((C11/$C$28)*100,1)</f>
        <v>15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60844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428182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324891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426092</v>
      </c>
      <c r="D17" s="182">
        <f t="shared" si="0"/>
        <v>3.8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662349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602241</v>
      </c>
      <c r="D20" s="182">
        <f t="shared" si="0"/>
        <v>5.4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525566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40400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15539.309999999998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11218132.310000001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480</v>
      </c>
    </row>
    <row r="30" spans="1:4" x14ac:dyDescent="0.2">
      <c r="B30" s="187" t="s">
        <v>729</v>
      </c>
      <c r="C30" s="180">
        <f>SUM(C28:C29)</f>
        <v>11218612.310000001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315000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6949794</v>
      </c>
      <c r="D35" s="182">
        <f t="shared" ref="D35:D40" si="1">ROUND((C35/$C$41)*100,1)</f>
        <v>60.9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19707.290000000037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3987171</v>
      </c>
      <c r="D37" s="182">
        <f t="shared" si="1"/>
        <v>34.9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187665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264513</v>
      </c>
      <c r="D39" s="182">
        <f t="shared" si="1"/>
        <v>2.2999999999999998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11408850.289999999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Chester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2014-09-09T12:50:48Z</cp:lastPrinted>
  <dcterms:created xsi:type="dcterms:W3CDTF">1997-12-04T19:04:30Z</dcterms:created>
  <dcterms:modified xsi:type="dcterms:W3CDTF">2014-09-10T18:15:21Z</dcterms:modified>
</cp:coreProperties>
</file>