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9" i="13" l="1"/>
  <c r="H472" i="1" l="1"/>
  <c r="H468" i="1"/>
  <c r="F472" i="1"/>
  <c r="J468" i="1"/>
  <c r="J96" i="1"/>
  <c r="J179" i="1"/>
  <c r="F9" i="1"/>
  <c r="G611" i="1" l="1"/>
  <c r="F611" i="1"/>
  <c r="H575" i="1"/>
  <c r="F582" i="1"/>
  <c r="F579" i="1"/>
  <c r="H526" i="1"/>
  <c r="J526" i="1"/>
  <c r="I526" i="1"/>
  <c r="G526" i="1"/>
  <c r="F526" i="1"/>
  <c r="I521" i="1"/>
  <c r="J521" i="1"/>
  <c r="H521" i="1"/>
  <c r="G521" i="1"/>
  <c r="F521" i="1"/>
  <c r="I358" i="1"/>
  <c r="H358" i="1"/>
  <c r="G358" i="1"/>
  <c r="K285" i="1" l="1"/>
  <c r="H282" i="1"/>
  <c r="I277" i="1"/>
  <c r="I276" i="1"/>
  <c r="G276" i="1"/>
  <c r="J202" i="1" l="1"/>
  <c r="I205" i="1"/>
  <c r="I203" i="1"/>
  <c r="I202" i="1"/>
  <c r="I200" i="1"/>
  <c r="H209" i="1"/>
  <c r="H208" i="1"/>
  <c r="H204" i="1"/>
  <c r="H203" i="1"/>
  <c r="H202" i="1"/>
  <c r="H200" i="1"/>
  <c r="H197" i="1"/>
  <c r="G209" i="1"/>
  <c r="G204" i="1"/>
  <c r="G203" i="1"/>
  <c r="G202" i="1"/>
  <c r="G200" i="1"/>
  <c r="G198" i="1"/>
  <c r="F204" i="1"/>
  <c r="F203" i="1"/>
  <c r="F202" i="1"/>
  <c r="F200" i="1"/>
  <c r="F198" i="1"/>
  <c r="G97" i="1"/>
  <c r="F11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C70" i="2" s="1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9" i="2" s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L225" i="1"/>
  <c r="C20" i="10" s="1"/>
  <c r="L243" i="1"/>
  <c r="F15" i="13"/>
  <c r="G15" i="13"/>
  <c r="L208" i="1"/>
  <c r="L226" i="1"/>
  <c r="L244" i="1"/>
  <c r="G651" i="1" s="1"/>
  <c r="F17" i="13"/>
  <c r="G17" i="13"/>
  <c r="L251" i="1"/>
  <c r="F18" i="13"/>
  <c r="D18" i="13" s="1"/>
  <c r="C18" i="13" s="1"/>
  <c r="G18" i="13"/>
  <c r="L252" i="1"/>
  <c r="F19" i="13"/>
  <c r="G19" i="13"/>
  <c r="D19" i="13" s="1"/>
  <c r="C19" i="13" s="1"/>
  <c r="L253" i="1"/>
  <c r="F29" i="13"/>
  <c r="G29" i="13"/>
  <c r="L358" i="1"/>
  <c r="H661" i="1" s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C11" i="10" s="1"/>
  <c r="L278" i="1"/>
  <c r="E111" i="2" s="1"/>
  <c r="L279" i="1"/>
  <c r="L281" i="1"/>
  <c r="L282" i="1"/>
  <c r="L283" i="1"/>
  <c r="E120" i="2" s="1"/>
  <c r="L284" i="1"/>
  <c r="L285" i="1"/>
  <c r="C19" i="10" s="1"/>
  <c r="L286" i="1"/>
  <c r="L287" i="1"/>
  <c r="E124" i="2" s="1"/>
  <c r="L288" i="1"/>
  <c r="L295" i="1"/>
  <c r="L296" i="1"/>
  <c r="L297" i="1"/>
  <c r="L309" i="1" s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28" i="1" s="1"/>
  <c r="H660" i="1" s="1"/>
  <c r="L317" i="1"/>
  <c r="L319" i="1"/>
  <c r="L320" i="1"/>
  <c r="L321" i="1"/>
  <c r="L322" i="1"/>
  <c r="L323" i="1"/>
  <c r="L324" i="1"/>
  <c r="L325" i="1"/>
  <c r="L326" i="1"/>
  <c r="L333" i="1"/>
  <c r="L334" i="1"/>
  <c r="L335" i="1"/>
  <c r="E114" i="2" s="1"/>
  <c r="L260" i="1"/>
  <c r="L261" i="1"/>
  <c r="C25" i="10" s="1"/>
  <c r="L341" i="1"/>
  <c r="E131" i="2" s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3" i="1" s="1"/>
  <c r="C138" i="2" s="1"/>
  <c r="L391" i="1"/>
  <c r="L392" i="1"/>
  <c r="L395" i="1"/>
  <c r="L396" i="1"/>
  <c r="L401" i="1" s="1"/>
  <c r="C139" i="2" s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E56" i="2" s="1"/>
  <c r="I60" i="1"/>
  <c r="F79" i="1"/>
  <c r="C57" i="2" s="1"/>
  <c r="F94" i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J140" i="1" s="1"/>
  <c r="F147" i="1"/>
  <c r="F162" i="1"/>
  <c r="G147" i="1"/>
  <c r="G162" i="1"/>
  <c r="H147" i="1"/>
  <c r="H162" i="1"/>
  <c r="I147" i="1"/>
  <c r="I162" i="1"/>
  <c r="I169" i="1" s="1"/>
  <c r="L250" i="1"/>
  <c r="L332" i="1"/>
  <c r="L254" i="1"/>
  <c r="L268" i="1"/>
  <c r="L269" i="1"/>
  <c r="L349" i="1"/>
  <c r="E142" i="2" s="1"/>
  <c r="L350" i="1"/>
  <c r="I665" i="1"/>
  <c r="I670" i="1"/>
  <c r="L247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D18" i="2" s="1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F78" i="2" s="1"/>
  <c r="F81" i="2" s="1"/>
  <c r="C74" i="2"/>
  <c r="C75" i="2"/>
  <c r="C76" i="2"/>
  <c r="E76" i="2"/>
  <c r="E78" i="2" s="1"/>
  <c r="E81" i="2" s="1"/>
  <c r="F76" i="2"/>
  <c r="C77" i="2"/>
  <c r="D77" i="2"/>
  <c r="D78" i="2" s="1"/>
  <c r="E77" i="2"/>
  <c r="F77" i="2"/>
  <c r="G77" i="2"/>
  <c r="G78" i="2" s="1"/>
  <c r="C79" i="2"/>
  <c r="D79" i="2"/>
  <c r="D81" i="2" s="1"/>
  <c r="E79" i="2"/>
  <c r="C80" i="2"/>
  <c r="E80" i="2"/>
  <c r="C85" i="2"/>
  <c r="C91" i="2" s="1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E112" i="2"/>
  <c r="C113" i="2"/>
  <c r="E113" i="2"/>
  <c r="C114" i="2"/>
  <c r="D115" i="2"/>
  <c r="F115" i="2"/>
  <c r="G115" i="2"/>
  <c r="E118" i="2"/>
  <c r="E119" i="2"/>
  <c r="C120" i="2"/>
  <c r="E121" i="2"/>
  <c r="E122" i="2"/>
  <c r="C123" i="2"/>
  <c r="E123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G408" i="1" s="1"/>
  <c r="H645" i="1" s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J639" i="1" s="1"/>
  <c r="G446" i="1"/>
  <c r="G640" i="1" s="1"/>
  <c r="H446" i="1"/>
  <c r="G641" i="1" s="1"/>
  <c r="F452" i="1"/>
  <c r="G452" i="1"/>
  <c r="H452" i="1"/>
  <c r="F460" i="1"/>
  <c r="F461" i="1" s="1"/>
  <c r="H639" i="1" s="1"/>
  <c r="G460" i="1"/>
  <c r="G461" i="1" s="1"/>
  <c r="H640" i="1" s="1"/>
  <c r="H460" i="1"/>
  <c r="H461" i="1" s="1"/>
  <c r="H641" i="1" s="1"/>
  <c r="F470" i="1"/>
  <c r="G470" i="1"/>
  <c r="H470" i="1"/>
  <c r="I470" i="1"/>
  <c r="J470" i="1"/>
  <c r="J476" i="1" s="1"/>
  <c r="H626" i="1" s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I571" i="1" s="1"/>
  <c r="J560" i="1"/>
  <c r="J571" i="1" s="1"/>
  <c r="K560" i="1"/>
  <c r="K571" i="1" s="1"/>
  <c r="L562" i="1"/>
  <c r="L563" i="1"/>
  <c r="L565" i="1" s="1"/>
  <c r="L564" i="1"/>
  <c r="F565" i="1"/>
  <c r="F571" i="1" s="1"/>
  <c r="G565" i="1"/>
  <c r="H565" i="1"/>
  <c r="H571" i="1" s="1"/>
  <c r="I565" i="1"/>
  <c r="J565" i="1"/>
  <c r="K565" i="1"/>
  <c r="L567" i="1"/>
  <c r="L568" i="1"/>
  <c r="L569" i="1"/>
  <c r="L570" i="1" s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0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43" i="1"/>
  <c r="H643" i="1"/>
  <c r="J643" i="1" s="1"/>
  <c r="G644" i="1"/>
  <c r="G645" i="1"/>
  <c r="J645" i="1" s="1"/>
  <c r="G652" i="1"/>
  <c r="H652" i="1"/>
  <c r="G653" i="1"/>
  <c r="H653" i="1"/>
  <c r="G654" i="1"/>
  <c r="H654" i="1"/>
  <c r="H655" i="1"/>
  <c r="K257" i="1"/>
  <c r="G164" i="2"/>
  <c r="D12" i="13"/>
  <c r="C12" i="13" s="1"/>
  <c r="D17" i="13"/>
  <c r="C17" i="13" s="1"/>
  <c r="E8" i="13"/>
  <c r="C8" i="13" s="1"/>
  <c r="C78" i="2"/>
  <c r="D50" i="2"/>
  <c r="G156" i="2"/>
  <c r="E103" i="2"/>
  <c r="G62" i="2"/>
  <c r="L427" i="1"/>
  <c r="K605" i="1"/>
  <c r="G648" i="1" s="1"/>
  <c r="L419" i="1"/>
  <c r="H169" i="1"/>
  <c r="I476" i="1"/>
  <c r="H625" i="1" s="1"/>
  <c r="G338" i="1"/>
  <c r="G352" i="1" s="1"/>
  <c r="F169" i="1"/>
  <c r="G22" i="2"/>
  <c r="C29" i="10"/>
  <c r="F22" i="13"/>
  <c r="F338" i="1"/>
  <c r="F352" i="1" s="1"/>
  <c r="G192" i="1"/>
  <c r="G36" i="2"/>
  <c r="G545" i="1"/>
  <c r="C22" i="13"/>
  <c r="A40" i="12" l="1"/>
  <c r="H476" i="1"/>
  <c r="H624" i="1" s="1"/>
  <c r="J624" i="1" s="1"/>
  <c r="E62" i="2"/>
  <c r="L351" i="1"/>
  <c r="J640" i="1"/>
  <c r="H408" i="1"/>
  <c r="H644" i="1" s="1"/>
  <c r="J644" i="1" s="1"/>
  <c r="L270" i="1"/>
  <c r="K271" i="1"/>
  <c r="J655" i="1"/>
  <c r="J651" i="1"/>
  <c r="K598" i="1"/>
  <c r="G647" i="1" s="1"/>
  <c r="J647" i="1" s="1"/>
  <c r="L544" i="1"/>
  <c r="K551" i="1"/>
  <c r="L539" i="1"/>
  <c r="K545" i="1"/>
  <c r="H552" i="1"/>
  <c r="I545" i="1"/>
  <c r="H545" i="1"/>
  <c r="J545" i="1"/>
  <c r="K549" i="1"/>
  <c r="F476" i="1"/>
  <c r="H622" i="1" s="1"/>
  <c r="J622" i="1" s="1"/>
  <c r="J634" i="1"/>
  <c r="E128" i="2"/>
  <c r="L290" i="1"/>
  <c r="E115" i="2"/>
  <c r="J641" i="1"/>
  <c r="E63" i="2"/>
  <c r="C35" i="10"/>
  <c r="F257" i="1"/>
  <c r="F271" i="1" s="1"/>
  <c r="C121" i="2"/>
  <c r="G81" i="2"/>
  <c r="G661" i="1"/>
  <c r="C12" i="10"/>
  <c r="L362" i="1"/>
  <c r="C27" i="10" s="1"/>
  <c r="C15" i="10"/>
  <c r="C111" i="2"/>
  <c r="C122" i="2"/>
  <c r="H25" i="13"/>
  <c r="K550" i="1"/>
  <c r="L614" i="1"/>
  <c r="L529" i="1"/>
  <c r="J257" i="1"/>
  <c r="J271" i="1" s="1"/>
  <c r="H112" i="1"/>
  <c r="H193" i="1" s="1"/>
  <c r="G629" i="1" s="1"/>
  <c r="J629" i="1" s="1"/>
  <c r="D29" i="13"/>
  <c r="C29" i="13" s="1"/>
  <c r="C26" i="10"/>
  <c r="G625" i="1"/>
  <c r="J625" i="1" s="1"/>
  <c r="L534" i="1"/>
  <c r="K500" i="1"/>
  <c r="I460" i="1"/>
  <c r="I452" i="1"/>
  <c r="I446" i="1"/>
  <c r="G642" i="1" s="1"/>
  <c r="I257" i="1"/>
  <c r="I271" i="1" s="1"/>
  <c r="D127" i="2"/>
  <c r="D128" i="2" s="1"/>
  <c r="D145" i="2" s="1"/>
  <c r="D62" i="2"/>
  <c r="D63" i="2" s="1"/>
  <c r="F661" i="1"/>
  <c r="G112" i="1"/>
  <c r="J338" i="1"/>
  <c r="J352" i="1" s="1"/>
  <c r="G257" i="1"/>
  <c r="G271" i="1" s="1"/>
  <c r="G662" i="1"/>
  <c r="D14" i="13"/>
  <c r="C14" i="13" s="1"/>
  <c r="C16" i="10"/>
  <c r="C13" i="10"/>
  <c r="C17" i="10"/>
  <c r="G650" i="1"/>
  <c r="J650" i="1" s="1"/>
  <c r="H257" i="1"/>
  <c r="H271" i="1" s="1"/>
  <c r="L229" i="1"/>
  <c r="C124" i="2"/>
  <c r="C10" i="10"/>
  <c r="C118" i="2"/>
  <c r="H647" i="1"/>
  <c r="F662" i="1"/>
  <c r="I662" i="1" s="1"/>
  <c r="C21" i="10"/>
  <c r="D15" i="13"/>
  <c r="C15" i="13" s="1"/>
  <c r="G649" i="1"/>
  <c r="J649" i="1" s="1"/>
  <c r="C119" i="2"/>
  <c r="C125" i="2"/>
  <c r="E16" i="13"/>
  <c r="C16" i="13" s="1"/>
  <c r="E13" i="13"/>
  <c r="C13" i="13" s="1"/>
  <c r="D7" i="13"/>
  <c r="C7" i="13" s="1"/>
  <c r="D6" i="13"/>
  <c r="C6" i="13" s="1"/>
  <c r="L211" i="1"/>
  <c r="L257" i="1" s="1"/>
  <c r="D5" i="13"/>
  <c r="C5" i="13" s="1"/>
  <c r="C112" i="2"/>
  <c r="C115" i="2" s="1"/>
  <c r="H664" i="1"/>
  <c r="H672" i="1" s="1"/>
  <c r="C6" i="10" s="1"/>
  <c r="C81" i="2"/>
  <c r="C62" i="2"/>
  <c r="C63" i="2" s="1"/>
  <c r="F112" i="1"/>
  <c r="C36" i="10" s="1"/>
  <c r="E31" i="2"/>
  <c r="H52" i="1"/>
  <c r="H619" i="1" s="1"/>
  <c r="J619" i="1" s="1"/>
  <c r="J623" i="1"/>
  <c r="D31" i="2"/>
  <c r="D51" i="2" s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L338" i="1"/>
  <c r="C24" i="10"/>
  <c r="G660" i="1"/>
  <c r="G664" i="1" s="1"/>
  <c r="G667" i="1" s="1"/>
  <c r="G31" i="13"/>
  <c r="G33" i="13" s="1"/>
  <c r="I338" i="1"/>
  <c r="I352" i="1" s="1"/>
  <c r="L407" i="1"/>
  <c r="C140" i="2" s="1"/>
  <c r="C141" i="2" s="1"/>
  <c r="C144" i="2" s="1"/>
  <c r="L571" i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F31" i="13"/>
  <c r="J193" i="1"/>
  <c r="G646" i="1" s="1"/>
  <c r="F104" i="2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K552" i="1" l="1"/>
  <c r="E104" i="2"/>
  <c r="L352" i="1"/>
  <c r="G633" i="1" s="1"/>
  <c r="J633" i="1" s="1"/>
  <c r="H646" i="1"/>
  <c r="L271" i="1"/>
  <c r="G632" i="1" s="1"/>
  <c r="J632" i="1" s="1"/>
  <c r="G104" i="2"/>
  <c r="L545" i="1"/>
  <c r="G635" i="1"/>
  <c r="J635" i="1" s="1"/>
  <c r="I661" i="1"/>
  <c r="D31" i="13"/>
  <c r="C31" i="13" s="1"/>
  <c r="E145" i="2"/>
  <c r="F33" i="13"/>
  <c r="H648" i="1"/>
  <c r="J648" i="1" s="1"/>
  <c r="I461" i="1"/>
  <c r="H642" i="1" s="1"/>
  <c r="J642" i="1" s="1"/>
  <c r="C25" i="13"/>
  <c r="H33" i="13"/>
  <c r="E33" i="13"/>
  <c r="D35" i="13" s="1"/>
  <c r="C28" i="10"/>
  <c r="D19" i="10" s="1"/>
  <c r="C128" i="2"/>
  <c r="C145" i="2" s="1"/>
  <c r="F660" i="1"/>
  <c r="F664" i="1" s="1"/>
  <c r="F672" i="1" s="1"/>
  <c r="C4" i="10" s="1"/>
  <c r="G672" i="1"/>
  <c r="C5" i="10" s="1"/>
  <c r="C104" i="2"/>
  <c r="F193" i="1"/>
  <c r="G627" i="1" s="1"/>
  <c r="J627" i="1" s="1"/>
  <c r="E51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18" i="10" l="1"/>
  <c r="D11" i="10"/>
  <c r="D12" i="10"/>
  <c r="D22" i="10"/>
  <c r="D27" i="10"/>
  <c r="D17" i="10"/>
  <c r="D24" i="10"/>
  <c r="D13" i="10"/>
  <c r="D21" i="10"/>
  <c r="D10" i="10"/>
  <c r="D26" i="10"/>
  <c r="C30" i="10"/>
  <c r="D16" i="10"/>
  <c r="D23" i="10"/>
  <c r="D20" i="10"/>
  <c r="D15" i="10"/>
  <c r="D25" i="10"/>
  <c r="F667" i="1"/>
  <c r="I660" i="1"/>
  <c r="I664" i="1" s="1"/>
  <c r="I672" i="1" s="1"/>
  <c r="C7" i="10" s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<sst xmlns="http://schemas.openxmlformats.org/spreadsheetml/2006/main" count="3954" uniqueCount="912">
  <si>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</si>
  <si>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</si>
  <si>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</si>
  <si>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</si>
  <si>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</si>
  <si>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</si>
  <si>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</si>
  <si>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</si>
  <si>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</si>
  <si>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</si>
  <si>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</si>
  <si>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</si>
  <si>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</si>
  <si>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</si>
  <si>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</si>
  <si>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</si>
  <si>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</si>
  <si>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</si>
  <si>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</si>
  <si>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</si>
  <si>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</si>
  <si>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</si>
  <si>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</si>
  <si>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</si>
  <si>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</si>
  <si>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</si>
  <si>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</si>
  <si>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</si>
  <si>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</si>
  <si>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</si>
  <si>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</si>
  <si>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</si>
  <si>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</si>
  <si>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</si>
  <si>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</si>
  <si>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</si>
  <si>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</si>
  <si>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</si>
  <si>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</si>
  <si>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</si>
  <si>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</si>
  <si>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</si>
  <si>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</si>
  <si>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</si>
  <si>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</si>
  <si>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</si>
  <si>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</si>
  <si>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</si>
  <si>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</si>
  <si>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</si>
  <si>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</si>
  <si>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</si>
  <si>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</si>
  <si>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</si>
  <si>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</si>
  <si>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</si>
  <si>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</si>
  <si>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</si>
  <si>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</si>
  <si>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</si>
  <si>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</si>
  <si>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</si>
  <si>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</si>
  <si>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</si>
  <si>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</si>
  <si>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</si>
  <si>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</si>
  <si>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</si>
  <si>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</si>
  <si>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</si>
  <si>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</si>
  <si>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</si>
  <si>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</si>
  <si>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</si>
  <si>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</si>
  <si>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</si>
  <si>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</si>
  <si>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</si>
  <si>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</si>
  <si>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</si>
  <si>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</si>
  <si>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</si>
  <si>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</si>
  <si>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</si>
  <si>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</si>
  <si>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</si>
  <si>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</si>
  <si>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</si>
  <si>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</si>
  <si>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</si>
  <si>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</si>
  <si>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</si>
  <si>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</si>
  <si>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</si>
  <si>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</si>
  <si>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</si>
  <si>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</si>
  <si>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</si>
  <si>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</si>
  <si>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</si>
  <si>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</si>
  <si>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</si>
  <si>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</si>
  <si>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</si>
  <si>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</si>
  <si>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</si>
  <si>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</si>
  <si>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</si>
  <si>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</si>
  <si>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</si>
  <si>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</si>
  <si>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</si>
  <si>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</si>
  <si>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</si>
  <si>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</si>
  <si>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</si>
  <si>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</si>
  <si>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</si>
  <si>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</si>
  <si>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</si>
  <si>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</si>
  <si>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</si>
  <si>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</si>
  <si>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</si>
  <si>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</si>
  <si>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</si>
  <si>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</si>
  <si>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</si>
  <si>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</si>
  <si>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</si>
  <si>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</si>
  <si>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</si>
  <si>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</si>
  <si>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</si>
  <si>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</si>
  <si>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</si>
  <si>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</si>
  <si>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</si>
  <si>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</si>
  <si>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</si>
  <si>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</si>
  <si>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</si>
  <si>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</si>
  <si>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</si>
  <si>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</si>
  <si>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</si>
  <si>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</si>
  <si>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</si>
  <si>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</si>
  <si>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</si>
  <si>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</si>
  <si>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</si>
  <si>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</si>
  <si>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</si>
  <si>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</si>
  <si>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</si>
  <si>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</si>
  <si>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</si>
  <si>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</si>
  <si>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</si>
  <si>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</si>
  <si>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</si>
  <si>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</si>
  <si>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</si>
  <si>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</si>
  <si>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</si>
  <si>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</si>
  <si>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</si>
  <si>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</si>
  <si>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</si>
  <si>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</si>
  <si>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</si>
  <si>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</si>
  <si>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</si>
  <si>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</si>
  <si>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</si>
  <si>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</si>
  <si>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</si>
  <si>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</si>
  <si>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</si>
  <si>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</si>
  <si>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</si>
  <si>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</si>
  <si>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</si>
  <si>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</si>
  <si>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</si>
  <si>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</si>
  <si>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</si>
  <si>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</si>
  <si>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</si>
  <si>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</si>
  <si>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</si>
  <si>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</si>
  <si>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</si>
  <si>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</si>
  <si>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</si>
  <si>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</si>
  <si>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</si>
  <si>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</si>
  <si>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</si>
  <si>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</si>
  <si>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</si>
  <si>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</si>
  <si>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</si>
  <si>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</si>
  <si>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</si>
  <si>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</si>
  <si>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</si>
  <si>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</si>
  <si>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</si>
  <si>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</si>
  <si>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</si>
  <si>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</si>
  <si>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</si>
  <si>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</si>
  <si>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</si>
  <si>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</si>
  <si>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</si>
  <si>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</si>
  <si>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</si>
  <si>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</si>
  <si>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</si>
  <si>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</si>
  <si>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</si>
  <si>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</si>
  <si>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</si>
  <si>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</si>
  <si>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</si>
  <si>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</si>
  <si>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</si>
  <si>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</si>
  <si>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</si>
  <si>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</si>
  <si>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</si>
  <si>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</si>
  <si>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</si>
  <si>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</si>
  <si>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</si>
  <si>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</si>
  <si>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</si>
  <si>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</si>
  <si>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</si>
  <si>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</si>
  <si>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</si>
  <si>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</si>
  <si>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</si>
  <si>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</si>
  <si>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</si>
  <si>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</si>
  <si>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</si>
  <si>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</si>
  <si>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</si>
  <si>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</si>
  <si>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</si>
  <si>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</si>
  <si>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</si>
  <si>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</si>
  <si>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</si>
  <si>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</si>
  <si>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</si>
  <si>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</si>
  <si>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</si>
  <si>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</si>
  <si>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</si>
  <si>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</si>
  <si>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</si>
  <si>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</si>
  <si>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</si>
  <si>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</si>
  <si>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</si>
  <si>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</si>
  <si>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</si>
  <si>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</si>
  <si>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</si>
  <si>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</si>
  <si>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</si>
  <si>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</si>
  <si>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</si>
  <si>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</si>
  <si>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</si>
  <si>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</si>
  <si>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</si>
  <si>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</si>
  <si>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</si>
  <si>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</si>
  <si>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</si>
  <si>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</si>
  <si>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</si>
  <si>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</si>
  <si>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</si>
  <si>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</si>
  <si>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</si>
  <si>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</si>
  <si>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</si>
  <si>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</si>
  <si>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</si>
  <si>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</si>
  <si>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</si>
  <si>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</si>
  <si>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</si>
  <si>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</si>
  <si>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</si>
  <si>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</si>
  <si>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</si>
  <si>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</si>
  <si>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</si>
  <si>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</si>
  <si>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</si>
  <si>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</si>
  <si>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</si>
  <si>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</si>
  <si>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</si>
  <si>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</si>
  <si>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</si>
  <si>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</si>
  <si>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</si>
  <si>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</si>
  <si>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</si>
  <si>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</si>
  <si>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</si>
  <si>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</si>
  <si>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</si>
  <si>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</si>
  <si>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</si>
  <si>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</si>
  <si>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</si>
  <si>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</si>
  <si>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</si>
  <si>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</si>
  <si>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</si>
  <si>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</si>
  <si>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</si>
  <si>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</si>
  <si>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</si>
  <si>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</si>
  <si>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</si>
  <si>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</si>
  <si>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</si>
  <si>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</si>
  <si>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</si>
  <si>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</si>
  <si>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</si>
  <si>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</si>
  <si>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</si>
  <si>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</si>
  <si>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</si>
  <si>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</si>
  <si>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</si>
  <si>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</si>
  <si>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</si>
  <si>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</si>
  <si>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</si>
  <si>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</si>
  <si>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</si>
  <si>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</si>
  <si>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</si>
  <si>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</si>
  <si>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</si>
  <si>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</si>
  <si>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</si>
  <si>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</si>
  <si>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</si>
  <si>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</si>
  <si>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</si>
  <si>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</si>
  <si>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</si>
  <si>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</si>
  <si>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</si>
  <si>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</si>
  <si>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</si>
  <si>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</si>
  <si>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</si>
  <si>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</si>
  <si>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</si>
  <si>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</si>
  <si>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</si>
  <si>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</si>
  <si>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</si>
  <si>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</si>
  <si>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</si>
  <si>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</si>
  <si>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</si>
  <si>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</si>
  <si>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</si>
  <si>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</si>
  <si>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</si>
  <si>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</si>
  <si>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</si>
  <si>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</si>
  <si>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</si>
  <si>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</si>
  <si>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</si>
  <si>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</si>
  <si>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</si>
  <si>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</si>
  <si>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</si>
  <si>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</si>
  <si>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</si>
  <si>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</si>
  <si>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</si>
  <si>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</si>
  <si>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</si>
  <si>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</si>
  <si>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</si>
  <si>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</si>
  <si>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</si>
  <si>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</si>
  <si>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</si>
  <si>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</si>
  <si>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</si>
  <si>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</si>
  <si>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</si>
  <si>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</si>
  <si>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</si>
  <si>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</si>
  <si>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</si>
  <si>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</si>
  <si>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</si>
  <si>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</si>
  <si>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</si>
  <si>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</si>
  <si>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</si>
  <si>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</si>
  <si>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</si>
  <si>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</si>
  <si>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</si>
  <si>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</si>
  <si>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</si>
  <si>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</si>
  <si>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</si>
  <si>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</si>
  <si>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</si>
  <si>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</si>
  <si>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</si>
  <si>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</si>
  <si>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</si>
  <si>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</si>
  <si>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</si>
  <si>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</si>
  <si>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</si>
  <si>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</si>
  <si>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</si>
  <si>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</si>
  <si>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</si>
  <si>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</si>
  <si>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</si>
  <si>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</si>
  <si>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</si>
  <si>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</si>
  <si>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</si>
  <si>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</si>
  <si>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</si>
  <si>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</si>
  <si>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</si>
  <si>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</si>
  <si>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</si>
  <si>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</si>
  <si>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</si>
  <si>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</si>
  <si>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</si>
  <si>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</si>
  <si>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</si>
  <si>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</si>
  <si>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</si>
  <si>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</si>
  <si>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</si>
  <si>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</si>
  <si>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</si>
  <si>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</si>
  <si>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</si>
  <si>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</si>
  <si>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</si>
  <si>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</si>
  <si>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</si>
  <si>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</si>
  <si>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</si>
  <si>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</si>
  <si>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</si>
  <si>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</si>
  <si>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</si>
  <si>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</si>
  <si>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</si>
  <si>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</si>
  <si>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</si>
  <si>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</si>
  <si>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</si>
  <si>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</si>
  <si>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</si>
  <si>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</si>
  <si>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</si>
  <si>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</si>
  <si>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</si>
  <si>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</si>
  <si>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</si>
  <si>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</si>
  <si>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</si>
  <si>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</si>
  <si>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</si>
  <si>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</si>
  <si>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</si>
  <si>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</si>
  <si>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</si>
  <si>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</si>
  <si>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</si>
  <si>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</si>
  <si>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</si>
  <si>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</si>
  <si>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</si>
  <si>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</si>
  <si>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</si>
  <si>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</si>
  <si>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</si>
  <si>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</si>
  <si>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</si>
  <si>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</si>
  <si>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</si>
  <si>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</si>
  <si>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</si>
  <si>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</si>
  <si>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</si>
  <si>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</si>
  <si>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</si>
  <si>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</si>
  <si>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</si>
  <si>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</si>
  <si>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</si>
  <si>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</si>
  <si>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</si>
  <si>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</si>
  <si>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</si>
  <si>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</si>
  <si>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</si>
  <si>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</si>
  <si>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</si>
  <si>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</si>
  <si>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</si>
  <si>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</si>
  <si>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</si>
  <si>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</si>
  <si>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</si>
  <si>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</si>
  <si>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</si>
  <si>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</si>
  <si>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</si>
  <si>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</si>
  <si>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</si>
  <si>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</si>
  <si>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</si>
  <si>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</si>
  <si>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</si>
  <si>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</si>
  <si>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</si>
  <si>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</si>
  <si>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</si>
  <si>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</si>
  <si>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</si>
  <si>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</si>
  <si>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</si>
  <si>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</si>
  <si>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</si>
  <si>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</si>
  <si>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</si>
  <si>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</si>
  <si>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</si>
  <si>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</si>
  <si>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</si>
  <si>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</si>
  <si>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</si>
  <si>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</si>
  <si>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</si>
  <si>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</si>
  <si>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</si>
  <si>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</si>
  <si>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</si>
  <si>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</si>
  <si>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</si>
  <si>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</si>
  <si>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</si>
  <si>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</si>
  <si>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</si>
  <si>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</si>
  <si>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</si>
  <si>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</si>
  <si>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</si>
  <si>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</si>
  <si>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</si>
  <si>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</si>
  <si>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</si>
  <si>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</si>
  <si>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</si>
  <si>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</si>
  <si>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</si>
  <si>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</si>
  <si>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</si>
  <si>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</si>
  <si>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</si>
  <si>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</si>
  <si>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</si>
  <si>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</si>
  <si>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</si>
  <si>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</si>
  <si>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</si>
  <si>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</si>
  <si>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</si>
  <si>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</si>
  <si>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</si>
  <si>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</si>
  <si>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</si>
  <si>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</si>
  <si>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</si>
  <si>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</si>
  <si>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</si>
  <si>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</si>
  <si>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</si>
  <si>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</si>
  <si>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</si>
  <si>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</si>
  <si>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</si>
  <si>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</si>
  <si>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</si>
  <si>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</si>
  <si>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</si>
  <si>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</si>
  <si>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</si>
  <si>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</si>
  <si>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</si>
  <si>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</si>
  <si>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</si>
  <si>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</si>
  <si>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</si>
  <si>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</si>
  <si>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</si>
  <si>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</si>
  <si>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</si>
  <si>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</si>
  <si>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</si>
  <si>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</si>
  <si>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</si>
  <si>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</si>
  <si>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</si>
  <si>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</si>
  <si>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</si>
  <si>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</si>
  <si>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</si>
  <si>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</si>
  <si>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</si>
  <si>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</si>
  <si>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</si>
  <si>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</si>
  <si>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</si>
  <si>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</si>
  <si>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</si>
  <si>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</si>
  <si>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</si>
  <si>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</si>
  <si>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</si>
  <si>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</si>
  <si>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</si>
  <si>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</si>
  <si>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</si>
  <si>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</si>
  <si>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</si>
  <si>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</si>
  <si>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</si>
  <si>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</si>
  <si>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</si>
  <si>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</si>
  <si>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</si>
  <si>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</si>
  <si>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</si>
  <si>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</si>
  <si>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</si>
  <si>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</si>
  <si>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</si>
  <si>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</si>
  <si>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</si>
  <si>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</si>
  <si>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</si>
  <si>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</si>
  <si>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</si>
  <si>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</si>
  <si>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</si>
  <si>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</si>
  <si>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</si>
  <si>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</si>
  <si>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</si>
  <si>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</si>
  <si>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</si>
  <si>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</si>
  <si>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</si>
  <si>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</si>
  <si>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</si>
  <si>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</si>
  <si>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</si>
  <si>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</si>
  <si>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</si>
  <si>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</si>
  <si>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</si>
  <si>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</si>
  <si>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</si>
  <si>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</si>
  <si>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</si>
  <si>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</si>
  <si>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</si>
  <si>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</si>
  <si>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</si>
  <si>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</si>
  <si>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</si>
  <si>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</si>
  <si>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</si>
  <si>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</si>
  <si>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</si>
  <si>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</si>
  <si>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</si>
  <si>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</si>
  <si>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</si>
  <si>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</si>
  <si>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</si>
  <si>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</si>
  <si>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</si>
  <si>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</si>
  <si>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</si>
  <si>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</si>
  <si>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</si>
  <si>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</si>
  <si>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</si>
  <si>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</si>
  <si>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</si>
  <si>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</si>
  <si>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</si>
  <si>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</si>
  <si>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</si>
  <si>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</si>
  <si>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</si>
  <si>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</si>
  <si>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</si>
  <si>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</si>
  <si>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</si>
  <si>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</si>
  <si>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</si>
  <si>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</si>
  <si>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</si>
  <si>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</si>
  <si>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</si>
  <si>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</si>
  <si>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</si>
  <si>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</si>
  <si>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</si>
  <si>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</si>
  <si>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</si>
  <si>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</si>
  <si>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</si>
  <si>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</si>
  <si>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</si>
  <si>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</si>
  <si>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</si>
  <si>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</si>
  <si>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</si>
  <si>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</si>
  <si>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</si>
  <si>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</si>
  <si>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</si>
  <si>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</si>
  <si>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</si>
  <si>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</si>
  <si>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</si>
  <si>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</si>
  <si>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</si>
  <si>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</si>
  <si>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</si>
  <si>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</si>
  <si>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</si>
  <si>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</si>
  <si>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</si>
  <si>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</si>
  <si>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</si>
  <si>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</si>
  <si>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</si>
  <si>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</si>
  <si>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</si>
  <si>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</si>
  <si>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</si>
  <si>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</si>
  <si>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</si>
  <si>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</si>
  <si>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</si>
  <si>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</si>
  <si>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</si>
  <si>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</si>
  <si>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</si>
  <si>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</si>
  <si>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</si>
  <si>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</si>
  <si>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</si>
  <si>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</si>
  <si>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</si>
  <si>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</si>
  <si>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</si>
  <si>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</si>
  <si>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</si>
  <si>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</si>
  <si>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</si>
  <si>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</si>
  <si>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</si>
  <si>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</si>
  <si>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</si>
  <si>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</si>
  <si>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</si>
  <si>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</si>
  <si>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</si>
  <si>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</si>
  <si>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</si>
  <si>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</si>
  <si>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</si>
  <si>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</si>
  <si>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</si>
  <si>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</si>
  <si>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</si>
  <si>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</si>
  <si>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</si>
  <si>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</si>
  <si>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</si>
  <si>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</si>
  <si>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</si>
  <si>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</si>
  <si>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</si>
  <si>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</si>
  <si>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</si>
  <si>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</si>
  <si>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</si>
  <si>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</si>
  <si>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</si>
  <si>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</si>
  <si>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</si>
  <si>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</si>
  <si>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</si>
  <si>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</si>
  <si>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</si>
  <si>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</si>
  <si>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</si>
  <si>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</si>
  <si>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</si>
  <si>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</si>
  <si>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</si>
  <si>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</si>
  <si>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</si>
  <si>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</si>
  <si>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</si>
  <si>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</si>
  <si>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</si>
  <si>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</si>
  <si>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</si>
  <si>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</si>
  <si>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</si>
  <si>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</si>
  <si>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</si>
  <si>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</si>
  <si>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</si>
  <si>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</si>
  <si>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</si>
  <si>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</si>
  <si>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</si>
  <si>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</si>
  <si>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</si>
  <si>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</si>
  <si>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</si>
  <si>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</si>
  <si>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</si>
  <si>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</si>
  <si>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</si>
  <si>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</si>
  <si>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</si>
  <si>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</si>
  <si>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</si>
  <si>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</si>
  <si>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</si>
  <si>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</si>
  <si>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</si>
  <si>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</si>
  <si>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</si>
  <si>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</si>
  <si>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</si>
  <si>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</si>
  <si>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</si>
  <si>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</si>
  <si>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</si>
  <si>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</si>
  <si>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</si>
  <si>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</si>
  <si>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</si>
  <si>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</si>
  <si>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</si>
  <si>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</si>
  <si>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</si>
  <si>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</si>
  <si>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</si>
  <si>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</si>
  <si>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</si>
  <si>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</si>
  <si>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</si>
  <si>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</si>
  <si>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</si>
  <si>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</si>
  <si>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</si>
  <si>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</si>
  <si>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</si>
  <si>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</si>
  <si>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</si>
  <si>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</si>
  <si>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</si>
  <si>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</si>
  <si>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CHESTERFIELD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</si>
</sst>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F51" sqref="F5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95</v>
      </c>
      <c r="C2" s="21">
        <v>95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23559.45+2000-96194.56</f>
        <v>-70635.11</v>
      </c>
      <c r="G9" s="18">
        <v>4967.68</v>
      </c>
      <c r="H9" s="18">
        <v>582.80999999999995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304117.04000000004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121952.44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52057.8</v>
      </c>
      <c r="G13" s="18">
        <v>3456.81</v>
      </c>
      <c r="H13" s="18">
        <v>128348.11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245</v>
      </c>
      <c r="G14" s="18">
        <v>606.51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103620.13</v>
      </c>
      <c r="G19" s="41">
        <f>SUM(G9:G18)</f>
        <v>9031</v>
      </c>
      <c r="H19" s="41">
        <f>SUM(H9:H18)</f>
        <v>128930.92</v>
      </c>
      <c r="I19" s="41">
        <f>SUM(I9:I18)</f>
        <v>0</v>
      </c>
      <c r="J19" s="41">
        <f>SUM(J9:J18)</f>
        <v>304117.04000000004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121952.44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3350.13</v>
      </c>
      <c r="G23" s="18"/>
      <c r="H23" s="18">
        <v>50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20760.13</v>
      </c>
      <c r="G24" s="18"/>
      <c r="H24" s="18">
        <v>5319.79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28215.61</v>
      </c>
      <c r="G28" s="18">
        <v>1761.16</v>
      </c>
      <c r="H28" s="18">
        <v>1025.8800000000001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3162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52325.87</v>
      </c>
      <c r="G32" s="41">
        <f>SUM(G22:G31)</f>
        <v>4923.16</v>
      </c>
      <c r="H32" s="41">
        <f>SUM(H22:H31)</f>
        <v>128348.11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>
        <v>4107.84</v>
      </c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>
        <v>582.80999999999995</v>
      </c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482.5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304117.04000000004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25811.759999999998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51294.259999999995</v>
      </c>
      <c r="G51" s="41">
        <f>SUM(G35:G50)</f>
        <v>4107.84</v>
      </c>
      <c r="H51" s="41">
        <f>SUM(H35:H50)</f>
        <v>582.80999999999995</v>
      </c>
      <c r="I51" s="41">
        <f>SUM(I35:I50)</f>
        <v>0</v>
      </c>
      <c r="J51" s="41">
        <f>SUM(J35:J50)</f>
        <v>304117.04000000004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103620.13</v>
      </c>
      <c r="G52" s="41">
        <f>G51+G32</f>
        <v>9031</v>
      </c>
      <c r="H52" s="41">
        <f>H51+H32</f>
        <v>128930.92</v>
      </c>
      <c r="I52" s="41">
        <f>I51+I32</f>
        <v>0</v>
      </c>
      <c r="J52" s="41">
        <f>J51+J32</f>
        <v>304117.04000000004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5083660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5083660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34542.730000000003</v>
      </c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34542.730000000003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457.03</v>
      </c>
      <c r="G96" s="18"/>
      <c r="H96" s="18"/>
      <c r="I96" s="18"/>
      <c r="J96" s="18">
        <f>728.69+461.13</f>
        <v>1189.8200000000002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46757.91+9080.88+7722.65+5874.4</f>
        <v>69435.839999999997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175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5000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34536.720000000001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144735.4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10727.13+4692.22</f>
        <v>15419.349999999999</v>
      </c>
      <c r="G110" s="18">
        <v>55.25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195323.5</v>
      </c>
      <c r="G111" s="41">
        <f>SUM(G96:G110)</f>
        <v>69491.09</v>
      </c>
      <c r="H111" s="41">
        <f>SUM(H96:H110)</f>
        <v>5000</v>
      </c>
      <c r="I111" s="41">
        <f>SUM(I96:I110)</f>
        <v>0</v>
      </c>
      <c r="J111" s="41">
        <f>SUM(J96:J110)</f>
        <v>1189.8200000000002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5313526.2300000004</v>
      </c>
      <c r="G112" s="41">
        <f>G60+G111</f>
        <v>69491.09</v>
      </c>
      <c r="H112" s="41">
        <f>H60+H79+H94+H111</f>
        <v>5000</v>
      </c>
      <c r="I112" s="41">
        <f>I60+I111</f>
        <v>0</v>
      </c>
      <c r="J112" s="41">
        <f>J60+J111</f>
        <v>1189.8200000000002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748722.96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1166061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1914783.96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53672.56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1612.7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53672.56</v>
      </c>
      <c r="G136" s="41">
        <f>SUM(G123:G135)</f>
        <v>1612.7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1968456.52</v>
      </c>
      <c r="G140" s="41">
        <f>G121+SUM(G136:G137)</f>
        <v>1612.7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10484.790000000001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23761.18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37969.19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35916.51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104625.3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72881.27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72881.27</v>
      </c>
      <c r="G162" s="41">
        <f>SUM(G150:G161)</f>
        <v>35916.51</v>
      </c>
      <c r="H162" s="41">
        <f>SUM(H150:H161)</f>
        <v>176840.46000000002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72881.27</v>
      </c>
      <c r="G169" s="41">
        <f>G147+G162+SUM(G163:G168)</f>
        <v>35916.51</v>
      </c>
      <c r="H169" s="41">
        <f>H147+H162+SUM(H163:H168)</f>
        <v>176840.46000000002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f>25000</f>
        <v>25000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3200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3200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3200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7358064.0199999996</v>
      </c>
      <c r="G193" s="47">
        <f>G112+G140+G169+G192</f>
        <v>107020.29999999999</v>
      </c>
      <c r="H193" s="47">
        <f>H112+H140+H169+H192</f>
        <v>181840.46000000002</v>
      </c>
      <c r="I193" s="47">
        <f>I112+I140+I169+I192</f>
        <v>0</v>
      </c>
      <c r="J193" s="47">
        <f>J112+J140+J192</f>
        <v>26189.82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1508896.78</v>
      </c>
      <c r="G197" s="18">
        <v>642987.42000000004</v>
      </c>
      <c r="H197" s="18">
        <f>984.41</f>
        <v>984.41</v>
      </c>
      <c r="I197" s="18">
        <v>35587.07</v>
      </c>
      <c r="J197" s="18">
        <v>9826.3700000000008</v>
      </c>
      <c r="K197" s="18">
        <v>6873.88</v>
      </c>
      <c r="L197" s="19">
        <f>SUM(F197:K197)</f>
        <v>2205155.9300000002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546858.39</f>
        <v>546858.39</v>
      </c>
      <c r="G198" s="18">
        <f>341968.74</f>
        <v>341968.74</v>
      </c>
      <c r="H198" s="18">
        <v>334465.03000000003</v>
      </c>
      <c r="I198" s="18">
        <v>319.77</v>
      </c>
      <c r="J198" s="18">
        <v>129.94999999999999</v>
      </c>
      <c r="K198" s="18"/>
      <c r="L198" s="19">
        <f>SUM(F198:K198)</f>
        <v>1223741.8800000001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14524.98+5835</f>
        <v>20359.98</v>
      </c>
      <c r="G200" s="18">
        <f>1984.34+567.02</f>
        <v>2551.3599999999997</v>
      </c>
      <c r="H200" s="18">
        <f>6039.26</f>
        <v>6039.26</v>
      </c>
      <c r="I200" s="18">
        <f>2158.44+119.29</f>
        <v>2277.73</v>
      </c>
      <c r="J200" s="18">
        <v>725.01</v>
      </c>
      <c r="K200" s="18">
        <v>5225</v>
      </c>
      <c r="L200" s="19">
        <f>SUM(F200:K200)</f>
        <v>37178.339999999997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51650.04+42675.52+51971.92+64197.9</f>
        <v>210495.37999999998</v>
      </c>
      <c r="G202" s="18">
        <f>29935.26+9659.61+16326.2+22128.86</f>
        <v>78049.929999999993</v>
      </c>
      <c r="H202" s="18">
        <f>9380.17+13143.2+28940+4689.82+1523.46</f>
        <v>57676.65</v>
      </c>
      <c r="I202" s="18">
        <f>980.86+341.28+110.69+105.44</f>
        <v>1538.27</v>
      </c>
      <c r="J202" s="18">
        <f>320.56+691.9+786.45+282.7</f>
        <v>2081.61</v>
      </c>
      <c r="K202" s="18"/>
      <c r="L202" s="19">
        <f t="shared" ref="L202:L208" si="0">SUM(F202:K202)</f>
        <v>349841.83999999997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9496.05+51225.02</f>
        <v>60721.069999999992</v>
      </c>
      <c r="G203" s="18">
        <f>1973.67+12000+25360.3</f>
        <v>39333.97</v>
      </c>
      <c r="H203" s="18">
        <f>8541.27+200+1602.74</f>
        <v>10344.01</v>
      </c>
      <c r="I203" s="18">
        <f>2105.57+9778.5</f>
        <v>11884.07</v>
      </c>
      <c r="J203" s="18"/>
      <c r="K203" s="18">
        <v>231</v>
      </c>
      <c r="L203" s="19">
        <f t="shared" si="0"/>
        <v>122514.12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4919.33+3277</f>
        <v>8196.33</v>
      </c>
      <c r="G204" s="18">
        <f>394.49+262.82</f>
        <v>657.31</v>
      </c>
      <c r="H204" s="18">
        <f>182.12+150+8250+22808.74+150+403030</f>
        <v>434570.86</v>
      </c>
      <c r="I204" s="18">
        <v>591.37</v>
      </c>
      <c r="J204" s="18"/>
      <c r="K204" s="18">
        <v>3970.99</v>
      </c>
      <c r="L204" s="19">
        <f t="shared" si="0"/>
        <v>447986.86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148172.34</v>
      </c>
      <c r="G205" s="18">
        <v>53364.62</v>
      </c>
      <c r="H205" s="18">
        <v>19327.45</v>
      </c>
      <c r="I205" s="18">
        <f>1228.38+1362.42</f>
        <v>2590.8000000000002</v>
      </c>
      <c r="J205" s="18">
        <v>1070</v>
      </c>
      <c r="K205" s="18">
        <v>735</v>
      </c>
      <c r="L205" s="19">
        <f t="shared" si="0"/>
        <v>225260.21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124327.47</v>
      </c>
      <c r="G207" s="18">
        <v>64062.42</v>
      </c>
      <c r="H207" s="18">
        <v>93867.09</v>
      </c>
      <c r="I207" s="18">
        <v>94582.12</v>
      </c>
      <c r="J207" s="18">
        <v>10676.17</v>
      </c>
      <c r="K207" s="18"/>
      <c r="L207" s="19">
        <f t="shared" si="0"/>
        <v>387515.26999999996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195091.8+33593.68+5684.17+1200</f>
        <v>235569.65</v>
      </c>
      <c r="I208" s="18"/>
      <c r="J208" s="18"/>
      <c r="K208" s="18"/>
      <c r="L208" s="19">
        <f t="shared" si="0"/>
        <v>235569.65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1500</v>
      </c>
      <c r="G209" s="18">
        <f>238.89+333.01</f>
        <v>571.9</v>
      </c>
      <c r="H209" s="18">
        <f>1672.5+6404.02</f>
        <v>8076.52</v>
      </c>
      <c r="I209" s="18">
        <v>13620.55</v>
      </c>
      <c r="J209" s="18">
        <v>28225.18</v>
      </c>
      <c r="K209" s="18"/>
      <c r="L209" s="19">
        <f>SUM(F209:K209)</f>
        <v>51994.15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2629527.7399999998</v>
      </c>
      <c r="G211" s="41">
        <f t="shared" si="1"/>
        <v>1223547.67</v>
      </c>
      <c r="H211" s="41">
        <f t="shared" si="1"/>
        <v>1200920.93</v>
      </c>
      <c r="I211" s="41">
        <f t="shared" si="1"/>
        <v>162991.75</v>
      </c>
      <c r="J211" s="41">
        <f t="shared" si="1"/>
        <v>52734.29</v>
      </c>
      <c r="K211" s="41">
        <f t="shared" si="1"/>
        <v>17035.870000000003</v>
      </c>
      <c r="L211" s="41">
        <f t="shared" si="1"/>
        <v>5286758.2500000009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1559717.92</v>
      </c>
      <c r="I233" s="18"/>
      <c r="J233" s="18"/>
      <c r="K233" s="18"/>
      <c r="L233" s="19">
        <f>SUM(F233:K233)</f>
        <v>1559717.92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528191.59</v>
      </c>
      <c r="I234" s="18"/>
      <c r="J234" s="18"/>
      <c r="K234" s="18"/>
      <c r="L234" s="19">
        <f>SUM(F234:K234)</f>
        <v>528191.59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128551.1</v>
      </c>
      <c r="I244" s="18"/>
      <c r="J244" s="18"/>
      <c r="K244" s="18"/>
      <c r="L244" s="19">
        <f t="shared" si="4"/>
        <v>128551.1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2216460.61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2216460.61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2629527.7399999998</v>
      </c>
      <c r="G257" s="41">
        <f t="shared" si="8"/>
        <v>1223547.67</v>
      </c>
      <c r="H257" s="41">
        <f t="shared" si="8"/>
        <v>3417381.54</v>
      </c>
      <c r="I257" s="41">
        <f t="shared" si="8"/>
        <v>162991.75</v>
      </c>
      <c r="J257" s="41">
        <f t="shared" si="8"/>
        <v>52734.29</v>
      </c>
      <c r="K257" s="41">
        <f t="shared" si="8"/>
        <v>17035.870000000003</v>
      </c>
      <c r="L257" s="41">
        <f t="shared" si="8"/>
        <v>7503218.8600000013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25000</v>
      </c>
      <c r="L266" s="19">
        <f t="shared" si="9"/>
        <v>25000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25000</v>
      </c>
      <c r="L270" s="41">
        <f t="shared" si="9"/>
        <v>25000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2629527.7399999998</v>
      </c>
      <c r="G271" s="42">
        <f t="shared" si="11"/>
        <v>1223547.67</v>
      </c>
      <c r="H271" s="42">
        <f t="shared" si="11"/>
        <v>3417381.54</v>
      </c>
      <c r="I271" s="42">
        <f t="shared" si="11"/>
        <v>162991.75</v>
      </c>
      <c r="J271" s="42">
        <f t="shared" si="11"/>
        <v>52734.29</v>
      </c>
      <c r="K271" s="42">
        <f t="shared" si="11"/>
        <v>42035.87</v>
      </c>
      <c r="L271" s="42">
        <f t="shared" si="11"/>
        <v>7528218.8600000013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19869.169999999998</v>
      </c>
      <c r="G276" s="18">
        <f>1519.99+77.46</f>
        <v>1597.45</v>
      </c>
      <c r="H276" s="18"/>
      <c r="I276" s="18">
        <f>1679.5+8805.29+2338.47</f>
        <v>12823.26</v>
      </c>
      <c r="J276" s="18">
        <v>3950</v>
      </c>
      <c r="K276" s="18"/>
      <c r="L276" s="19">
        <f>SUM(F276:K276)</f>
        <v>38239.879999999997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>
        <f>428.65+32.94</f>
        <v>461.59</v>
      </c>
      <c r="J277" s="18">
        <v>24765.81</v>
      </c>
      <c r="K277" s="18"/>
      <c r="L277" s="19">
        <f>SUM(F277:K277)</f>
        <v>25227.4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>
        <v>4800</v>
      </c>
      <c r="I279" s="18"/>
      <c r="J279" s="18"/>
      <c r="K279" s="18"/>
      <c r="L279" s="19">
        <f>SUM(F279:K279)</f>
        <v>4800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>
        <v>-50</v>
      </c>
      <c r="L281" s="19">
        <f t="shared" ref="L281:L287" si="12">SUM(F281:K281)</f>
        <v>-50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f>1680+12598+11000+5000+74988.42</f>
        <v>105266.42</v>
      </c>
      <c r="I282" s="18"/>
      <c r="J282" s="18"/>
      <c r="K282" s="18">
        <v>130</v>
      </c>
      <c r="L282" s="19">
        <f t="shared" si="12"/>
        <v>105396.42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>
        <v>1426</v>
      </c>
      <c r="I283" s="18"/>
      <c r="J283" s="18"/>
      <c r="K283" s="18"/>
      <c r="L283" s="19">
        <f t="shared" si="12"/>
        <v>1426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f>78.96+19.17+797.76+899.39+396+4389.18+20.3</f>
        <v>6600.76</v>
      </c>
      <c r="L285" s="19">
        <f t="shared" si="12"/>
        <v>6600.76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19869.169999999998</v>
      </c>
      <c r="G290" s="42">
        <f t="shared" si="13"/>
        <v>1597.45</v>
      </c>
      <c r="H290" s="42">
        <f t="shared" si="13"/>
        <v>111492.42</v>
      </c>
      <c r="I290" s="42">
        <f t="shared" si="13"/>
        <v>13284.85</v>
      </c>
      <c r="J290" s="42">
        <f t="shared" si="13"/>
        <v>28715.81</v>
      </c>
      <c r="K290" s="42">
        <f t="shared" si="13"/>
        <v>6680.76</v>
      </c>
      <c r="L290" s="41">
        <f t="shared" si="13"/>
        <v>181640.46000000002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19869.169999999998</v>
      </c>
      <c r="G338" s="41">
        <f t="shared" si="20"/>
        <v>1597.45</v>
      </c>
      <c r="H338" s="41">
        <f t="shared" si="20"/>
        <v>111492.42</v>
      </c>
      <c r="I338" s="41">
        <f t="shared" si="20"/>
        <v>13284.85</v>
      </c>
      <c r="J338" s="41">
        <f t="shared" si="20"/>
        <v>28715.81</v>
      </c>
      <c r="K338" s="41">
        <f t="shared" si="20"/>
        <v>6680.76</v>
      </c>
      <c r="L338" s="41">
        <f t="shared" si="20"/>
        <v>181640.46000000002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19869.169999999998</v>
      </c>
      <c r="G352" s="41">
        <f>G338</f>
        <v>1597.45</v>
      </c>
      <c r="H352" s="41">
        <f>H338</f>
        <v>111492.42</v>
      </c>
      <c r="I352" s="41">
        <f>I338</f>
        <v>13284.85</v>
      </c>
      <c r="J352" s="41">
        <f>J338</f>
        <v>28715.81</v>
      </c>
      <c r="K352" s="47">
        <f>K338+K351</f>
        <v>6680.76</v>
      </c>
      <c r="L352" s="41">
        <f>L338+L351</f>
        <v>181640.46000000002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38897.620000000003</v>
      </c>
      <c r="G358" s="18">
        <f>6891.87+573.04+69.32+74.1+2965.94+777.27</f>
        <v>11351.54</v>
      </c>
      <c r="H358" s="18">
        <f>6000+337.25</f>
        <v>6337.25</v>
      </c>
      <c r="I358" s="18">
        <f>3127.38+41530.06</f>
        <v>44657.439999999995</v>
      </c>
      <c r="J358" s="18">
        <v>484.86</v>
      </c>
      <c r="K358" s="18">
        <v>1183.75</v>
      </c>
      <c r="L358" s="13">
        <f>SUM(F358:K358)</f>
        <v>102912.46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38897.620000000003</v>
      </c>
      <c r="G362" s="47">
        <f t="shared" si="22"/>
        <v>11351.54</v>
      </c>
      <c r="H362" s="47">
        <f t="shared" si="22"/>
        <v>6337.25</v>
      </c>
      <c r="I362" s="47">
        <f t="shared" si="22"/>
        <v>44657.439999999995</v>
      </c>
      <c r="J362" s="47">
        <f t="shared" si="22"/>
        <v>484.86</v>
      </c>
      <c r="K362" s="47">
        <f t="shared" si="22"/>
        <v>1183.75</v>
      </c>
      <c r="L362" s="47">
        <f t="shared" si="22"/>
        <v>102912.46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41530.06</v>
      </c>
      <c r="G367" s="18"/>
      <c r="H367" s="18"/>
      <c r="I367" s="56">
        <f>SUM(F367:H367)</f>
        <v>41530.06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3127.38</v>
      </c>
      <c r="G368" s="63"/>
      <c r="H368" s="63"/>
      <c r="I368" s="56">
        <f>SUM(F368:H368)</f>
        <v>3127.38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44657.439999999995</v>
      </c>
      <c r="G369" s="47">
        <f>SUM(G367:G368)</f>
        <v>0</v>
      </c>
      <c r="H369" s="47">
        <f>SUM(H367:H368)</f>
        <v>0</v>
      </c>
      <c r="I369" s="47">
        <f>SUM(I367:I368)</f>
        <v>44657.439999999995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25000</v>
      </c>
      <c r="H389" s="18">
        <v>728.69</v>
      </c>
      <c r="I389" s="18"/>
      <c r="J389" s="24" t="s">
        <v>289</v>
      </c>
      <c r="K389" s="24" t="s">
        <v>289</v>
      </c>
      <c r="L389" s="56">
        <f t="shared" si="25"/>
        <v>25728.69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25000</v>
      </c>
      <c r="H393" s="139">
        <f>SUM(H387:H392)</f>
        <v>728.69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25728.69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461.13</v>
      </c>
      <c r="I398" s="18"/>
      <c r="J398" s="24" t="s">
        <v>289</v>
      </c>
      <c r="K398" s="24" t="s">
        <v>289</v>
      </c>
      <c r="L398" s="56">
        <f t="shared" si="26"/>
        <v>461.13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461.13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461.13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25000</v>
      </c>
      <c r="H408" s="47">
        <f>H393+H401+H407</f>
        <v>1189.8200000000002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26189.82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152336.01</v>
      </c>
      <c r="G440" s="18">
        <v>151781.03</v>
      </c>
      <c r="H440" s="18"/>
      <c r="I440" s="56">
        <f t="shared" si="33"/>
        <v>304117.04000000004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152336.01</v>
      </c>
      <c r="G446" s="13">
        <f>SUM(G439:G445)</f>
        <v>151781.03</v>
      </c>
      <c r="H446" s="13">
        <f>SUM(H439:H445)</f>
        <v>0</v>
      </c>
      <c r="I446" s="13">
        <f>SUM(I439:I445)</f>
        <v>304117.04000000004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152336.01</v>
      </c>
      <c r="G459" s="18">
        <v>151781.03</v>
      </c>
      <c r="H459" s="18"/>
      <c r="I459" s="56">
        <f t="shared" si="34"/>
        <v>304117.04000000004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152336.01</v>
      </c>
      <c r="G460" s="83">
        <f>SUM(G454:G459)</f>
        <v>151781.03</v>
      </c>
      <c r="H460" s="83">
        <f>SUM(H454:H459)</f>
        <v>0</v>
      </c>
      <c r="I460" s="83">
        <f>SUM(I454:I459)</f>
        <v>304117.04000000004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152336.01</v>
      </c>
      <c r="G461" s="42">
        <f>G452+G460</f>
        <v>151781.03</v>
      </c>
      <c r="H461" s="42">
        <f>H452+H460</f>
        <v>0</v>
      </c>
      <c r="I461" s="42">
        <f>I452+I460</f>
        <v>304117.04000000004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221449.1</v>
      </c>
      <c r="G465" s="18">
        <v>0</v>
      </c>
      <c r="H465" s="18">
        <v>382.81</v>
      </c>
      <c r="I465" s="18">
        <v>0</v>
      </c>
      <c r="J465" s="18">
        <v>277927.21999999997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7358064.0199999996</v>
      </c>
      <c r="G468" s="18">
        <v>107020.3</v>
      </c>
      <c r="H468" s="18">
        <f>176840.46+5000</f>
        <v>181840.46</v>
      </c>
      <c r="I468" s="18"/>
      <c r="J468" s="18">
        <f>25000+728.69+461.13</f>
        <v>26189.82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7358064.0199999996</v>
      </c>
      <c r="G470" s="53">
        <f>SUM(G468:G469)</f>
        <v>107020.3</v>
      </c>
      <c r="H470" s="53">
        <f>SUM(H468:H469)</f>
        <v>181840.46</v>
      </c>
      <c r="I470" s="53">
        <f>SUM(I468:I469)</f>
        <v>0</v>
      </c>
      <c r="J470" s="53">
        <f>SUM(J468:J469)</f>
        <v>26189.82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7503218.86+25000</f>
        <v>7528218.8600000003</v>
      </c>
      <c r="G472" s="18">
        <v>102912.46</v>
      </c>
      <c r="H472" s="18">
        <f>176840.46+4800</f>
        <v>181640.46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7528218.8600000003</v>
      </c>
      <c r="G474" s="53">
        <f>SUM(G472:G473)</f>
        <v>102912.46</v>
      </c>
      <c r="H474" s="53">
        <f>SUM(H472:H473)</f>
        <v>181640.46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51294.259999998845</v>
      </c>
      <c r="G476" s="53">
        <f>(G465+G470)- G474</f>
        <v>4107.8399999999965</v>
      </c>
      <c r="H476" s="53">
        <f>(H465+H470)- H474</f>
        <v>582.80999999999767</v>
      </c>
      <c r="I476" s="53">
        <f>(I465+I470)- I474</f>
        <v>0</v>
      </c>
      <c r="J476" s="53">
        <f>(J465+J470)- J474</f>
        <v>304117.03999999998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175072.03+371786.36</f>
        <v>546858.39</v>
      </c>
      <c r="G521" s="18">
        <f>259244.26+12326.44+1426.28+1942.11+40460.6+24436.25+2132.8</f>
        <v>341968.74</v>
      </c>
      <c r="H521" s="18">
        <f>865.4+134491+132243.5+66865.13</f>
        <v>334465.03000000003</v>
      </c>
      <c r="I521" s="18">
        <f>65.45+254.32+428.65+32.94</f>
        <v>781.3599999999999</v>
      </c>
      <c r="J521" s="18">
        <f>129.95+24765.81</f>
        <v>24895.760000000002</v>
      </c>
      <c r="K521" s="18"/>
      <c r="L521" s="88">
        <f>SUM(F521:K521)</f>
        <v>1248969.2800000003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528191.59</v>
      </c>
      <c r="I523" s="18"/>
      <c r="J523" s="18"/>
      <c r="K523" s="18"/>
      <c r="L523" s="88">
        <f>SUM(F523:K523)</f>
        <v>528191.59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546858.39</v>
      </c>
      <c r="G524" s="108">
        <f t="shared" ref="G524:L524" si="36">SUM(G521:G523)</f>
        <v>341968.74</v>
      </c>
      <c r="H524" s="108">
        <f t="shared" si="36"/>
        <v>862656.62</v>
      </c>
      <c r="I524" s="108">
        <f t="shared" si="36"/>
        <v>781.3599999999999</v>
      </c>
      <c r="J524" s="108">
        <f t="shared" si="36"/>
        <v>24895.760000000002</v>
      </c>
      <c r="K524" s="108">
        <f t="shared" si="36"/>
        <v>0</v>
      </c>
      <c r="L524" s="89">
        <f t="shared" si="36"/>
        <v>1777160.87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51971.92+64197.9</f>
        <v>116169.82</v>
      </c>
      <c r="G526" s="18">
        <f>3940+575+82.08+189.2+3977.82+7359.3+202.8+7216.2+472.15+82.08+233.55+4784.11+9090.39+250.38</f>
        <v>38455.060000000005</v>
      </c>
      <c r="H526" s="18">
        <f>5667.67+24205+4735+4373.91+315.91+1523.46+74988.42+1602.74</f>
        <v>117412.11</v>
      </c>
      <c r="I526" s="18">
        <f>341.28+110.69+105.44</f>
        <v>557.41</v>
      </c>
      <c r="J526" s="18">
        <f>691.9+786.45+282.7</f>
        <v>1761.05</v>
      </c>
      <c r="K526" s="18"/>
      <c r="L526" s="88">
        <f>SUM(F526:K526)</f>
        <v>274355.44999999995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116169.82</v>
      </c>
      <c r="G529" s="89">
        <f t="shared" ref="G529:L529" si="37">SUM(G526:G528)</f>
        <v>38455.060000000005</v>
      </c>
      <c r="H529" s="89">
        <f t="shared" si="37"/>
        <v>117412.11</v>
      </c>
      <c r="I529" s="89">
        <f t="shared" si="37"/>
        <v>557.41</v>
      </c>
      <c r="J529" s="89">
        <f t="shared" si="37"/>
        <v>1761.05</v>
      </c>
      <c r="K529" s="89">
        <f t="shared" si="37"/>
        <v>0</v>
      </c>
      <c r="L529" s="89">
        <f t="shared" si="37"/>
        <v>274355.44999999995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44547</v>
      </c>
      <c r="I531" s="18"/>
      <c r="J531" s="18"/>
      <c r="K531" s="18">
        <v>4409.4799999999996</v>
      </c>
      <c r="L531" s="88">
        <f>SUM(F531:K531)</f>
        <v>48956.479999999996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44547</v>
      </c>
      <c r="I534" s="89">
        <f t="shared" si="38"/>
        <v>0</v>
      </c>
      <c r="J534" s="89">
        <f t="shared" si="38"/>
        <v>0</v>
      </c>
      <c r="K534" s="89">
        <f t="shared" si="38"/>
        <v>4409.4799999999996</v>
      </c>
      <c r="L534" s="89">
        <f t="shared" si="38"/>
        <v>48956.479999999996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33593.68</v>
      </c>
      <c r="I541" s="18"/>
      <c r="J541" s="18"/>
      <c r="K541" s="18"/>
      <c r="L541" s="88">
        <f>SUM(F541:K541)</f>
        <v>33593.68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44940</v>
      </c>
      <c r="I543" s="18"/>
      <c r="J543" s="18"/>
      <c r="K543" s="18"/>
      <c r="L543" s="88">
        <f>SUM(F543:K543)</f>
        <v>44940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78533.679999999993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78533.679999999993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663028.21</v>
      </c>
      <c r="G545" s="89">
        <f t="shared" ref="G545:L545" si="41">G524+G529+G534+G539+G544</f>
        <v>380423.8</v>
      </c>
      <c r="H545" s="89">
        <f t="shared" si="41"/>
        <v>1103149.4099999999</v>
      </c>
      <c r="I545" s="89">
        <f t="shared" si="41"/>
        <v>1338.77</v>
      </c>
      <c r="J545" s="89">
        <f t="shared" si="41"/>
        <v>26656.81</v>
      </c>
      <c r="K545" s="89">
        <f t="shared" si="41"/>
        <v>4409.4799999999996</v>
      </c>
      <c r="L545" s="89">
        <f t="shared" si="41"/>
        <v>2179006.4800000004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1248969.2800000003</v>
      </c>
      <c r="G549" s="87">
        <f>L526</f>
        <v>274355.44999999995</v>
      </c>
      <c r="H549" s="87">
        <f>L531</f>
        <v>48956.479999999996</v>
      </c>
      <c r="I549" s="87">
        <f>L536</f>
        <v>0</v>
      </c>
      <c r="J549" s="87">
        <f>L541</f>
        <v>33593.68</v>
      </c>
      <c r="K549" s="87">
        <f>SUM(F549:J549)</f>
        <v>1605874.8900000001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528191.59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44940</v>
      </c>
      <c r="K551" s="87">
        <f>SUM(F551:J551)</f>
        <v>573131.59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1777160.87</v>
      </c>
      <c r="G552" s="89">
        <f t="shared" si="42"/>
        <v>274355.44999999995</v>
      </c>
      <c r="H552" s="89">
        <f t="shared" si="42"/>
        <v>48956.479999999996</v>
      </c>
      <c r="I552" s="89">
        <f t="shared" si="42"/>
        <v>0</v>
      </c>
      <c r="J552" s="89">
        <f t="shared" si="42"/>
        <v>78533.679999999993</v>
      </c>
      <c r="K552" s="89">
        <f t="shared" si="42"/>
        <v>2179006.48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f>1559717.92</f>
        <v>1559717.92</v>
      </c>
      <c r="I575" s="87">
        <f>SUM(F575:H575)</f>
        <v>1559717.92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f>134491+66865.13</f>
        <v>201356.13</v>
      </c>
      <c r="G579" s="18"/>
      <c r="H579" s="18">
        <v>420084.91</v>
      </c>
      <c r="I579" s="87">
        <f t="shared" si="47"/>
        <v>621441.04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132243.5</f>
        <v>132243.5</v>
      </c>
      <c r="G582" s="18"/>
      <c r="H582" s="18">
        <v>108106.68</v>
      </c>
      <c r="I582" s="87">
        <f t="shared" si="47"/>
        <v>240350.18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195091.8</v>
      </c>
      <c r="I591" s="18"/>
      <c r="J591" s="18">
        <v>83611.100000000006</v>
      </c>
      <c r="K591" s="104">
        <f t="shared" ref="K591:K597" si="48">SUM(H591:J591)</f>
        <v>278702.90000000002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33593.68</v>
      </c>
      <c r="I592" s="18"/>
      <c r="J592" s="18">
        <v>44940</v>
      </c>
      <c r="K592" s="104">
        <f t="shared" si="48"/>
        <v>78533.679999999993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5684.17</v>
      </c>
      <c r="I594" s="18"/>
      <c r="J594" s="18"/>
      <c r="K594" s="104">
        <f t="shared" si="48"/>
        <v>5684.17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1200</v>
      </c>
      <c r="I595" s="18"/>
      <c r="J595" s="18"/>
      <c r="K595" s="104">
        <f t="shared" si="48"/>
        <v>1200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235569.65</v>
      </c>
      <c r="I598" s="108">
        <f>SUM(I591:I597)</f>
        <v>0</v>
      </c>
      <c r="J598" s="108">
        <f>SUM(J591:J597)</f>
        <v>128551.1</v>
      </c>
      <c r="K598" s="108">
        <f>SUM(K591:K597)</f>
        <v>364120.75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81450.100000000006</v>
      </c>
      <c r="I604" s="18"/>
      <c r="J604" s="18"/>
      <c r="K604" s="104">
        <f>SUM(H604:J604)</f>
        <v>81450.100000000006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81450.100000000006</v>
      </c>
      <c r="I605" s="108">
        <f>SUM(I602:I604)</f>
        <v>0</v>
      </c>
      <c r="J605" s="108">
        <f>SUM(J602:J604)</f>
        <v>0</v>
      </c>
      <c r="K605" s="108">
        <f>SUM(K602:K604)</f>
        <v>81450.100000000006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5835</f>
        <v>5835</v>
      </c>
      <c r="G611" s="18">
        <f>446.4+99.12+21.5</f>
        <v>567.02</v>
      </c>
      <c r="H611" s="18"/>
      <c r="I611" s="18">
        <v>119.29</v>
      </c>
      <c r="J611" s="18"/>
      <c r="K611" s="18"/>
      <c r="L611" s="88">
        <f>SUM(F611:K611)</f>
        <v>6521.31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5835</v>
      </c>
      <c r="G614" s="108">
        <f t="shared" si="49"/>
        <v>567.02</v>
      </c>
      <c r="H614" s="108">
        <f t="shared" si="49"/>
        <v>0</v>
      </c>
      <c r="I614" s="108">
        <f t="shared" si="49"/>
        <v>119.29</v>
      </c>
      <c r="J614" s="108">
        <f t="shared" si="49"/>
        <v>0</v>
      </c>
      <c r="K614" s="108">
        <f t="shared" si="49"/>
        <v>0</v>
      </c>
      <c r="L614" s="89">
        <f t="shared" si="49"/>
        <v>6521.31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103620.13</v>
      </c>
      <c r="H617" s="109">
        <f>SUM(F52)</f>
        <v>103620.13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9031</v>
      </c>
      <c r="H618" s="109">
        <f>SUM(G52)</f>
        <v>9031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128930.92</v>
      </c>
      <c r="H619" s="109">
        <f>SUM(H52)</f>
        <v>128930.92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304117.04000000004</v>
      </c>
      <c r="H621" s="109">
        <f>SUM(J52)</f>
        <v>304117.04000000004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51294.259999999995</v>
      </c>
      <c r="H622" s="109">
        <f>F476</f>
        <v>51294.259999998845</v>
      </c>
      <c r="I622" s="121" t="s">
        <v>101</v>
      </c>
      <c r="J622" s="109">
        <f t="shared" ref="J622:J655" si="50">G622-H622</f>
        <v>1.1496013030409813E-9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4107.84</v>
      </c>
      <c r="H623" s="109">
        <f>G476</f>
        <v>4107.8399999999965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582.80999999999995</v>
      </c>
      <c r="H624" s="109">
        <f>H476</f>
        <v>582.80999999999767</v>
      </c>
      <c r="I624" s="121" t="s">
        <v>103</v>
      </c>
      <c r="J624" s="109">
        <f t="shared" si="50"/>
        <v>2.2737367544323206E-12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304117.04000000004</v>
      </c>
      <c r="H626" s="109">
        <f>J476</f>
        <v>304117.03999999998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7358064.0199999996</v>
      </c>
      <c r="H627" s="104">
        <f>SUM(F468)</f>
        <v>7358064.0199999996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107020.29999999999</v>
      </c>
      <c r="H628" s="104">
        <f>SUM(G468)</f>
        <v>107020.3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181840.46000000002</v>
      </c>
      <c r="H629" s="104">
        <f>SUM(H468)</f>
        <v>181840.46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26189.82</v>
      </c>
      <c r="H631" s="104">
        <f>SUM(J468)</f>
        <v>26189.82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7528218.8600000013</v>
      </c>
      <c r="H632" s="104">
        <f>SUM(F472)</f>
        <v>7528218.8600000003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181640.46000000002</v>
      </c>
      <c r="H633" s="104">
        <f>SUM(H472)</f>
        <v>181640.46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44657.439999999995</v>
      </c>
      <c r="H634" s="104">
        <f>I369</f>
        <v>44657.439999999995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102912.46</v>
      </c>
      <c r="H635" s="104">
        <f>SUM(G472)</f>
        <v>102912.46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26189.82</v>
      </c>
      <c r="H637" s="164">
        <f>SUM(J468)</f>
        <v>26189.82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152336.01</v>
      </c>
      <c r="H639" s="104">
        <f>SUM(F461)</f>
        <v>152336.01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151781.03</v>
      </c>
      <c r="H640" s="104">
        <f>SUM(G461)</f>
        <v>151781.03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304117.04000000004</v>
      </c>
      <c r="H642" s="104">
        <f>SUM(I461)</f>
        <v>304117.04000000004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1189.8200000000002</v>
      </c>
      <c r="H644" s="104">
        <f>H408</f>
        <v>1189.8200000000002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25000</v>
      </c>
      <c r="H645" s="104">
        <f>G408</f>
        <v>25000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26189.82</v>
      </c>
      <c r="H646" s="104">
        <f>L408</f>
        <v>26189.82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364120.75</v>
      </c>
      <c r="H647" s="104">
        <f>L208+L226+L244</f>
        <v>364120.75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81450.100000000006</v>
      </c>
      <c r="H648" s="104">
        <f>(J257+J338)-(J255+J336)</f>
        <v>81450.100000000006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235569.65</v>
      </c>
      <c r="H649" s="104">
        <f>H598</f>
        <v>235569.65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128551.1</v>
      </c>
      <c r="H651" s="104">
        <f>J598</f>
        <v>128551.1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25000</v>
      </c>
      <c r="H655" s="104">
        <f>K266+K347</f>
        <v>25000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5571311.1700000009</v>
      </c>
      <c r="G660" s="19">
        <f>(L229+L309+L359)</f>
        <v>0</v>
      </c>
      <c r="H660" s="19">
        <f>(L247+L328+L360)</f>
        <v>2216460.61</v>
      </c>
      <c r="I660" s="19">
        <f>SUM(F660:H660)</f>
        <v>7787771.7800000012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69491.09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69491.09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235569.65</v>
      </c>
      <c r="G662" s="19">
        <f>(L226+L306)-(J226+J306)</f>
        <v>0</v>
      </c>
      <c r="H662" s="19">
        <f>(L244+L325)-(J244+J325)</f>
        <v>128551.1</v>
      </c>
      <c r="I662" s="19">
        <f>SUM(F662:H662)</f>
        <v>364120.75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421571.04</v>
      </c>
      <c r="G663" s="199">
        <f>SUM(G575:G587)+SUM(I602:I604)+L612</f>
        <v>0</v>
      </c>
      <c r="H663" s="199">
        <f>SUM(H575:H587)+SUM(J602:J604)+L613</f>
        <v>2087909.5099999998</v>
      </c>
      <c r="I663" s="19">
        <f>SUM(F663:H663)</f>
        <v>2509480.5499999998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4844679.3900000006</v>
      </c>
      <c r="G664" s="19">
        <f>G660-SUM(G661:G663)</f>
        <v>0</v>
      </c>
      <c r="H664" s="19">
        <f>H660-SUM(H661:H663)</f>
        <v>0</v>
      </c>
      <c r="I664" s="19">
        <f>I660-SUM(I661:I663)</f>
        <v>4844679.3900000015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288.44</v>
      </c>
      <c r="G665" s="248"/>
      <c r="H665" s="248"/>
      <c r="I665" s="19">
        <f>SUM(F665:H665)</f>
        <v>288.44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16796.14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16796.14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16796.14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16796.14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zoomScale="86" zoomScaleNormal="86" workbookViewId="0">
      <selection activeCell="C19" sqref="C1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CHESTERFIELD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1528765.95</v>
      </c>
      <c r="C9" s="229">
        <f>'DOE25'!G197+'DOE25'!G215+'DOE25'!G233+'DOE25'!G276+'DOE25'!G295+'DOE25'!G314</f>
        <v>644584.87</v>
      </c>
    </row>
    <row r="10" spans="1:3" x14ac:dyDescent="0.2">
      <c r="A10" t="s">
        <v>779</v>
      </c>
      <c r="B10" s="240">
        <v>1508195.66</v>
      </c>
      <c r="C10" s="240">
        <v>635911.67000000004</v>
      </c>
    </row>
    <row r="11" spans="1:3" x14ac:dyDescent="0.2">
      <c r="A11" t="s">
        <v>780</v>
      </c>
      <c r="B11" s="240">
        <v>20570.29</v>
      </c>
      <c r="C11" s="240">
        <v>8673.2000000000007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1528765.95</v>
      </c>
      <c r="C13" s="231">
        <f>SUM(C10:C12)</f>
        <v>644584.87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546858.39</v>
      </c>
      <c r="C18" s="229">
        <f>'DOE25'!G198+'DOE25'!G216+'DOE25'!G234+'DOE25'!G277+'DOE25'!G296+'DOE25'!G315</f>
        <v>341968.74</v>
      </c>
    </row>
    <row r="19" spans="1:3" x14ac:dyDescent="0.2">
      <c r="A19" t="s">
        <v>779</v>
      </c>
      <c r="B19" s="240">
        <v>175072.03</v>
      </c>
      <c r="C19" s="240">
        <v>109478.36</v>
      </c>
    </row>
    <row r="20" spans="1:3" x14ac:dyDescent="0.2">
      <c r="A20" t="s">
        <v>780</v>
      </c>
      <c r="B20" s="240">
        <v>371786.36</v>
      </c>
      <c r="C20" s="240">
        <v>232490.38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546858.39</v>
      </c>
      <c r="C22" s="231">
        <f>SUM(C19:C21)</f>
        <v>341968.74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20359.98</v>
      </c>
      <c r="C36" s="235">
        <f>'DOE25'!G200+'DOE25'!G218+'DOE25'!G236+'DOE25'!G279+'DOE25'!G298+'DOE25'!G317</f>
        <v>2551.3599999999997</v>
      </c>
    </row>
    <row r="37" spans="1:3" x14ac:dyDescent="0.2">
      <c r="A37" t="s">
        <v>779</v>
      </c>
      <c r="B37" s="240">
        <v>12449.98</v>
      </c>
      <c r="C37" s="240">
        <v>1560.14</v>
      </c>
    </row>
    <row r="38" spans="1:3" x14ac:dyDescent="0.2">
      <c r="A38" t="s">
        <v>780</v>
      </c>
      <c r="B38" s="240">
        <v>7910</v>
      </c>
      <c r="C38" s="240">
        <v>991.22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20359.98</v>
      </c>
      <c r="C40" s="231">
        <f>SUM(C37:C39)</f>
        <v>2551.36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CHESTERFIELD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5553985.6600000001</v>
      </c>
      <c r="D5" s="20">
        <f>SUM('DOE25'!L197:L200)+SUM('DOE25'!L215:L218)+SUM('DOE25'!L233:L236)-F5-G5</f>
        <v>5531205.4500000002</v>
      </c>
      <c r="E5" s="243"/>
      <c r="F5" s="255">
        <f>SUM('DOE25'!J197:J200)+SUM('DOE25'!J215:J218)+SUM('DOE25'!J233:J236)</f>
        <v>10681.330000000002</v>
      </c>
      <c r="G5" s="53">
        <f>SUM('DOE25'!K197:K200)+SUM('DOE25'!K215:K218)+SUM('DOE25'!K233:K236)</f>
        <v>12098.880000000001</v>
      </c>
      <c r="H5" s="259"/>
    </row>
    <row r="6" spans="1:9" x14ac:dyDescent="0.2">
      <c r="A6" s="32">
        <v>2100</v>
      </c>
      <c r="B6" t="s">
        <v>801</v>
      </c>
      <c r="C6" s="245">
        <f t="shared" si="0"/>
        <v>349841.83999999997</v>
      </c>
      <c r="D6" s="20">
        <f>'DOE25'!L202+'DOE25'!L220+'DOE25'!L238-F6-G6</f>
        <v>347760.23</v>
      </c>
      <c r="E6" s="243"/>
      <c r="F6" s="255">
        <f>'DOE25'!J202+'DOE25'!J220+'DOE25'!J238</f>
        <v>2081.61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122514.12</v>
      </c>
      <c r="D7" s="20">
        <f>'DOE25'!L203+'DOE25'!L221+'DOE25'!L239-F7-G7</f>
        <v>122283.12</v>
      </c>
      <c r="E7" s="243"/>
      <c r="F7" s="255">
        <f>'DOE25'!J203+'DOE25'!J221+'DOE25'!J239</f>
        <v>0</v>
      </c>
      <c r="G7" s="53">
        <f>'DOE25'!K203+'DOE25'!K221+'DOE25'!K239</f>
        <v>231</v>
      </c>
      <c r="H7" s="259"/>
    </row>
    <row r="8" spans="1:9" x14ac:dyDescent="0.2">
      <c r="A8" s="32">
        <v>2300</v>
      </c>
      <c r="B8" t="s">
        <v>802</v>
      </c>
      <c r="C8" s="245">
        <f t="shared" si="0"/>
        <v>360061.74</v>
      </c>
      <c r="D8" s="243"/>
      <c r="E8" s="20">
        <f>'DOE25'!L204+'DOE25'!L222+'DOE25'!L240-F8-G8-D9-D11</f>
        <v>356090.75</v>
      </c>
      <c r="F8" s="255">
        <f>'DOE25'!J204+'DOE25'!J222+'DOE25'!J240</f>
        <v>0</v>
      </c>
      <c r="G8" s="53">
        <f>'DOE25'!K204+'DOE25'!K222+'DOE25'!K240</f>
        <v>3970.99</v>
      </c>
      <c r="H8" s="259"/>
    </row>
    <row r="9" spans="1:9" x14ac:dyDescent="0.2">
      <c r="A9" s="32">
        <v>2310</v>
      </c>
      <c r="B9" t="s">
        <v>818</v>
      </c>
      <c r="C9" s="245">
        <f t="shared" si="0"/>
        <v>13748.119999999999</v>
      </c>
      <c r="D9" s="244">
        <f>10058.3+150+3539.82</f>
        <v>13748.119999999999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8250</v>
      </c>
      <c r="D10" s="243"/>
      <c r="E10" s="244">
        <v>8250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74177</v>
      </c>
      <c r="D11" s="244">
        <v>74177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225260.21</v>
      </c>
      <c r="D12" s="20">
        <f>'DOE25'!L205+'DOE25'!L223+'DOE25'!L241-F12-G12</f>
        <v>223455.21</v>
      </c>
      <c r="E12" s="243"/>
      <c r="F12" s="255">
        <f>'DOE25'!J205+'DOE25'!J223+'DOE25'!J241</f>
        <v>1070</v>
      </c>
      <c r="G12" s="53">
        <f>'DOE25'!K205+'DOE25'!K223+'DOE25'!K241</f>
        <v>735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387515.26999999996</v>
      </c>
      <c r="D14" s="20">
        <f>'DOE25'!L207+'DOE25'!L225+'DOE25'!L243-F14-G14</f>
        <v>376839.1</v>
      </c>
      <c r="E14" s="243"/>
      <c r="F14" s="255">
        <f>'DOE25'!J207+'DOE25'!J225+'DOE25'!J243</f>
        <v>10676.17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364120.75</v>
      </c>
      <c r="D15" s="20">
        <f>'DOE25'!L208+'DOE25'!L226+'DOE25'!L244-F15-G15</f>
        <v>364120.75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51994.15</v>
      </c>
      <c r="D16" s="243"/>
      <c r="E16" s="20">
        <f>'DOE25'!L209+'DOE25'!L227+'DOE25'!L245-F16-G16</f>
        <v>23768.97</v>
      </c>
      <c r="F16" s="255">
        <f>'DOE25'!J209+'DOE25'!J227+'DOE25'!J245</f>
        <v>28225.18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61382.400000000009</v>
      </c>
      <c r="D29" s="20">
        <f>'DOE25'!L358+'DOE25'!L359+'DOE25'!L360-'DOE25'!I367-F29-G29</f>
        <v>59713.790000000008</v>
      </c>
      <c r="E29" s="243"/>
      <c r="F29" s="255">
        <f>'DOE25'!J358+'DOE25'!J359+'DOE25'!J360</f>
        <v>484.86</v>
      </c>
      <c r="G29" s="53">
        <f>'DOE25'!K358+'DOE25'!K359+'DOE25'!K360</f>
        <v>1183.75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181640.46000000002</v>
      </c>
      <c r="D31" s="20">
        <f>'DOE25'!L290+'DOE25'!L309+'DOE25'!L328+'DOE25'!L333+'DOE25'!L334+'DOE25'!L335-F31-G31</f>
        <v>146243.89000000001</v>
      </c>
      <c r="E31" s="243"/>
      <c r="F31" s="255">
        <f>'DOE25'!J290+'DOE25'!J309+'DOE25'!J328+'DOE25'!J333+'DOE25'!J334+'DOE25'!J335</f>
        <v>28715.81</v>
      </c>
      <c r="G31" s="53">
        <f>'DOE25'!K290+'DOE25'!K309+'DOE25'!K328+'DOE25'!K333+'DOE25'!K334+'DOE25'!K335</f>
        <v>6680.76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7259546.6599999992</v>
      </c>
      <c r="E33" s="246">
        <f>SUM(E5:E31)</f>
        <v>388109.72</v>
      </c>
      <c r="F33" s="246">
        <f>SUM(F5:F31)</f>
        <v>81934.960000000006</v>
      </c>
      <c r="G33" s="246">
        <f>SUM(G5:G31)</f>
        <v>24900.380000000005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388109.72</v>
      </c>
      <c r="E35" s="249"/>
    </row>
    <row r="36" spans="2:8" ht="12" thickTop="1" x14ac:dyDescent="0.2">
      <c r="B36" t="s">
        <v>815</v>
      </c>
      <c r="D36" s="20">
        <f>D33</f>
        <v>7259546.6599999992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CHESTERFIELD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-70635.11</v>
      </c>
      <c r="D8" s="95">
        <f>'DOE25'!G9</f>
        <v>4967.68</v>
      </c>
      <c r="E8" s="95">
        <f>'DOE25'!H9</f>
        <v>582.80999999999995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304117.04000000004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121952.44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52057.8</v>
      </c>
      <c r="D12" s="95">
        <f>'DOE25'!G13</f>
        <v>3456.81</v>
      </c>
      <c r="E12" s="95">
        <f>'DOE25'!H13</f>
        <v>128348.11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245</v>
      </c>
      <c r="D13" s="95">
        <f>'DOE25'!G14</f>
        <v>606.51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103620.13</v>
      </c>
      <c r="D18" s="41">
        <f>SUM(D8:D17)</f>
        <v>9031</v>
      </c>
      <c r="E18" s="41">
        <f>SUM(E8:E17)</f>
        <v>128930.92</v>
      </c>
      <c r="F18" s="41">
        <f>SUM(F8:F17)</f>
        <v>0</v>
      </c>
      <c r="G18" s="41">
        <f>SUM(G8:G17)</f>
        <v>304117.04000000004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121952.44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3350.13</v>
      </c>
      <c r="D22" s="95">
        <f>'DOE25'!G23</f>
        <v>0</v>
      </c>
      <c r="E22" s="95">
        <f>'DOE25'!H23</f>
        <v>50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20760.13</v>
      </c>
      <c r="D23" s="95">
        <f>'DOE25'!G24</f>
        <v>0</v>
      </c>
      <c r="E23" s="95">
        <f>'DOE25'!H24</f>
        <v>5319.79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28215.61</v>
      </c>
      <c r="D27" s="95">
        <f>'DOE25'!G28</f>
        <v>1761.16</v>
      </c>
      <c r="E27" s="95">
        <f>'DOE25'!H28</f>
        <v>1025.8800000000001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3162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52325.87</v>
      </c>
      <c r="D31" s="41">
        <f>SUM(D21:D30)</f>
        <v>4923.16</v>
      </c>
      <c r="E31" s="41">
        <f>SUM(E21:E30)</f>
        <v>128348.11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4107.84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582.80999999999995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482.5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304117.04000000004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25811.759999999998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51294.259999999995</v>
      </c>
      <c r="D50" s="41">
        <f>SUM(D34:D49)</f>
        <v>4107.84</v>
      </c>
      <c r="E50" s="41">
        <f>SUM(E34:E49)</f>
        <v>582.80999999999995</v>
      </c>
      <c r="F50" s="41">
        <f>SUM(F34:F49)</f>
        <v>0</v>
      </c>
      <c r="G50" s="41">
        <f>SUM(G34:G49)</f>
        <v>304117.04000000004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103620.13</v>
      </c>
      <c r="D51" s="41">
        <f>D50+D31</f>
        <v>9031</v>
      </c>
      <c r="E51" s="41">
        <f>E50+E31</f>
        <v>128930.92</v>
      </c>
      <c r="F51" s="41">
        <f>F50+F31</f>
        <v>0</v>
      </c>
      <c r="G51" s="41">
        <f>G50+G31</f>
        <v>304117.04000000004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5083660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34542.730000000003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457.03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1189.8200000000002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69435.839999999997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194866.47</v>
      </c>
      <c r="D61" s="95">
        <f>SUM('DOE25'!G98:G110)</f>
        <v>55.25</v>
      </c>
      <c r="E61" s="95">
        <f>SUM('DOE25'!H98:H110)</f>
        <v>5000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229866.23</v>
      </c>
      <c r="D62" s="130">
        <f>SUM(D57:D61)</f>
        <v>69491.09</v>
      </c>
      <c r="E62" s="130">
        <f>SUM(E57:E61)</f>
        <v>5000</v>
      </c>
      <c r="F62" s="130">
        <f>SUM(F57:F61)</f>
        <v>0</v>
      </c>
      <c r="G62" s="130">
        <f>SUM(G57:G61)</f>
        <v>1189.8200000000002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5313526.2300000004</v>
      </c>
      <c r="D63" s="22">
        <f>D56+D62</f>
        <v>69491.09</v>
      </c>
      <c r="E63" s="22">
        <f>E56+E62</f>
        <v>5000</v>
      </c>
      <c r="F63" s="22">
        <f>F56+F62</f>
        <v>0</v>
      </c>
      <c r="G63" s="22">
        <f>G56+G62</f>
        <v>1189.8200000000002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748722.96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1166061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1914783.96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53672.56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1612.7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53672.56</v>
      </c>
      <c r="D78" s="130">
        <f>SUM(D72:D77)</f>
        <v>1612.7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1968456.52</v>
      </c>
      <c r="D81" s="130">
        <f>SUM(D79:D80)+D78+D70</f>
        <v>1612.7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10484.790000000001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72881.27</v>
      </c>
      <c r="D88" s="95">
        <f>SUM('DOE25'!G153:G161)</f>
        <v>35916.51</v>
      </c>
      <c r="E88" s="95">
        <f>SUM('DOE25'!H153:H161)</f>
        <v>166355.67000000001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72881.27</v>
      </c>
      <c r="D91" s="131">
        <f>SUM(D85:D90)</f>
        <v>35916.51</v>
      </c>
      <c r="E91" s="131">
        <f>SUM(E85:E90)</f>
        <v>176840.46000000002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3200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3200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25000</v>
      </c>
    </row>
    <row r="104" spans="1:7" ht="12.75" thickTop="1" thickBot="1" x14ac:dyDescent="0.25">
      <c r="A104" s="33" t="s">
        <v>765</v>
      </c>
      <c r="C104" s="86">
        <f>C63+C81+C91+C103</f>
        <v>7358064.0199999996</v>
      </c>
      <c r="D104" s="86">
        <f>D63+D81+D91+D103</f>
        <v>107020.29999999999</v>
      </c>
      <c r="E104" s="86">
        <f>E63+E81+E91+E103</f>
        <v>181840.46000000002</v>
      </c>
      <c r="F104" s="86">
        <f>F63+F81+F91+F103</f>
        <v>0</v>
      </c>
      <c r="G104" s="86">
        <f>G63+G81+G103</f>
        <v>26189.82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3764873.85</v>
      </c>
      <c r="D109" s="24" t="s">
        <v>289</v>
      </c>
      <c r="E109" s="95">
        <f>('DOE25'!L276)+('DOE25'!L295)+('DOE25'!L314)</f>
        <v>38239.879999999997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1751933.4700000002</v>
      </c>
      <c r="D110" s="24" t="s">
        <v>289</v>
      </c>
      <c r="E110" s="95">
        <f>('DOE25'!L277)+('DOE25'!L296)+('DOE25'!L315)</f>
        <v>25227.4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37178.339999999997</v>
      </c>
      <c r="D112" s="24" t="s">
        <v>289</v>
      </c>
      <c r="E112" s="95">
        <f>+('DOE25'!L279)+('DOE25'!L298)+('DOE25'!L317)</f>
        <v>4800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5553985.6600000001</v>
      </c>
      <c r="D115" s="86">
        <f>SUM(D109:D114)</f>
        <v>0</v>
      </c>
      <c r="E115" s="86">
        <f>SUM(E109:E114)</f>
        <v>68267.28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349841.83999999997</v>
      </c>
      <c r="D118" s="24" t="s">
        <v>289</v>
      </c>
      <c r="E118" s="95">
        <f>+('DOE25'!L281)+('DOE25'!L300)+('DOE25'!L319)</f>
        <v>-50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122514.12</v>
      </c>
      <c r="D119" s="24" t="s">
        <v>289</v>
      </c>
      <c r="E119" s="95">
        <f>+('DOE25'!L282)+('DOE25'!L301)+('DOE25'!L320)</f>
        <v>105396.42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447986.86</v>
      </c>
      <c r="D120" s="24" t="s">
        <v>289</v>
      </c>
      <c r="E120" s="95">
        <f>+('DOE25'!L283)+('DOE25'!L302)+('DOE25'!L321)</f>
        <v>1426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225260.21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6600.76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387515.26999999996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364120.75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51994.15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102912.46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1949233.2</v>
      </c>
      <c r="D128" s="86">
        <f>SUM(D118:D127)</f>
        <v>102912.46</v>
      </c>
      <c r="E128" s="86">
        <f>SUM(E118:E127)</f>
        <v>113373.18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25728.69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461.13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-1189.8199999999997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25000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7528218.8600000003</v>
      </c>
      <c r="D145" s="86">
        <f>(D115+D128+D144)</f>
        <v>102912.46</v>
      </c>
      <c r="E145" s="86">
        <f>(E115+E128+E144)</f>
        <v>181640.46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CHESTERFIELD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16796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16796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3803114</v>
      </c>
      <c r="D10" s="182">
        <f>ROUND((C10/$C$28)*100,1)</f>
        <v>49.3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1777161</v>
      </c>
      <c r="D11" s="182">
        <f>ROUND((C11/$C$28)*100,1)</f>
        <v>23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41978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349792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227911</v>
      </c>
      <c r="D16" s="182">
        <f t="shared" si="0"/>
        <v>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501407</v>
      </c>
      <c r="D17" s="182">
        <f t="shared" si="0"/>
        <v>6.5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225260</v>
      </c>
      <c r="D18" s="182">
        <f t="shared" si="0"/>
        <v>2.9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6601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387515</v>
      </c>
      <c r="D20" s="182">
        <f t="shared" si="0"/>
        <v>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364121</v>
      </c>
      <c r="D21" s="182">
        <f t="shared" si="0"/>
        <v>4.7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33420.910000000003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7718280.9100000001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7718280.9100000001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5083660</v>
      </c>
      <c r="D35" s="182">
        <f t="shared" ref="D35:D40" si="1">ROUND((C35/$C$41)*100,1)</f>
        <v>67.099999999999994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236056.05000000075</v>
      </c>
      <c r="D36" s="182">
        <f t="shared" si="1"/>
        <v>3.1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1914784</v>
      </c>
      <c r="D37" s="182">
        <f t="shared" si="1"/>
        <v>25.3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55285</v>
      </c>
      <c r="D38" s="182">
        <f t="shared" si="1"/>
        <v>0.7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285638</v>
      </c>
      <c r="D39" s="182">
        <f t="shared" si="1"/>
        <v>3.8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7575423.0500000007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CHESTERFIELD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2014-10-14T12:32:17Z</cp:lastPrinted>
  <dcterms:created xsi:type="dcterms:W3CDTF">1997-12-04T19:04:30Z</dcterms:created>
  <dcterms:modified xsi:type="dcterms:W3CDTF">2014-11-05T17:45:14Z</dcterms:modified>
</cp:coreProperties>
</file>