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Notes'!$A$1:$N$42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68" i="1" l="1"/>
  <c r="C45" i="2" l="1"/>
  <c r="G51" i="1"/>
  <c r="G623" i="1"/>
  <c r="F51" i="1"/>
  <c r="F52" i="1" s="1"/>
  <c r="H617" i="1" s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 s="1"/>
  <c r="I458" i="1"/>
  <c r="J39" i="1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C114" i="2" s="1"/>
  <c r="C115" i="2" s="1"/>
  <c r="F29" i="13"/>
  <c r="G29" i="13"/>
  <c r="L358" i="1"/>
  <c r="L359" i="1"/>
  <c r="L360" i="1"/>
  <c r="I367" i="1"/>
  <c r="J290" i="1"/>
  <c r="J309" i="1"/>
  <c r="J328" i="1"/>
  <c r="K290" i="1"/>
  <c r="G31" i="13" s="1"/>
  <c r="D31" i="13" s="1"/>
  <c r="D33" i="13" s="1"/>
  <c r="D36" i="13" s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E121" i="2" s="1"/>
  <c r="L304" i="1"/>
  <c r="L305" i="1"/>
  <c r="L306" i="1"/>
  <c r="L307" i="1"/>
  <c r="L314" i="1"/>
  <c r="L315" i="1"/>
  <c r="L316" i="1"/>
  <c r="E111" i="2"/>
  <c r="L317" i="1"/>
  <c r="L319" i="1"/>
  <c r="L320" i="1"/>
  <c r="L321" i="1"/>
  <c r="E120" i="2" s="1"/>
  <c r="E128" i="2" s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A40" i="12" s="1"/>
  <c r="B40" i="12"/>
  <c r="C40" i="12"/>
  <c r="B27" i="12"/>
  <c r="A31" i="12" s="1"/>
  <c r="C27" i="12"/>
  <c r="B31" i="12"/>
  <c r="C31" i="12"/>
  <c r="B9" i="12"/>
  <c r="B13" i="12"/>
  <c r="A13" i="12" s="1"/>
  <c r="C9" i="12"/>
  <c r="C13" i="12"/>
  <c r="B18" i="12"/>
  <c r="B22" i="12"/>
  <c r="A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G62" i="2" s="1"/>
  <c r="G63" i="2" s="1"/>
  <c r="F2" i="11"/>
  <c r="L613" i="1"/>
  <c r="H663" i="1"/>
  <c r="L612" i="1"/>
  <c r="G663" i="1"/>
  <c r="L611" i="1"/>
  <c r="F663" i="1"/>
  <c r="C40" i="10"/>
  <c r="F60" i="1"/>
  <c r="G60" i="1"/>
  <c r="H60" i="1"/>
  <c r="I60" i="1"/>
  <c r="I112" i="1" s="1"/>
  <c r="F79" i="1"/>
  <c r="F94" i="1"/>
  <c r="F111" i="1"/>
  <c r="G111" i="1"/>
  <c r="G112" i="1"/>
  <c r="H79" i="1"/>
  <c r="H94" i="1"/>
  <c r="H111" i="1"/>
  <c r="I111" i="1"/>
  <c r="J111" i="1"/>
  <c r="J112" i="1" s="1"/>
  <c r="F121" i="1"/>
  <c r="F136" i="1"/>
  <c r="F140" i="1" s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L250" i="1"/>
  <c r="L332" i="1"/>
  <c r="L254" i="1"/>
  <c r="L268" i="1"/>
  <c r="L269" i="1"/>
  <c r="L349" i="1"/>
  <c r="L350" i="1"/>
  <c r="I665" i="1"/>
  <c r="I670" i="1"/>
  <c r="F662" i="1"/>
  <c r="H662" i="1"/>
  <c r="I669" i="1"/>
  <c r="C42" i="10"/>
  <c r="C32" i="10"/>
  <c r="L374" i="1"/>
  <c r="L375" i="1"/>
  <c r="L376" i="1"/>
  <c r="F130" i="2" s="1"/>
  <c r="F144" i="2" s="1"/>
  <c r="F145" i="2" s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/>
  <c r="L523" i="1"/>
  <c r="F551" i="1" s="1"/>
  <c r="L526" i="1"/>
  <c r="G549" i="1"/>
  <c r="L527" i="1"/>
  <c r="G550" i="1" s="1"/>
  <c r="K550" i="1" s="1"/>
  <c r="L528" i="1"/>
  <c r="G551" i="1"/>
  <c r="L531" i="1"/>
  <c r="H549" i="1" s="1"/>
  <c r="H552" i="1" s="1"/>
  <c r="L532" i="1"/>
  <c r="H550" i="1"/>
  <c r="L533" i="1"/>
  <c r="H551" i="1" s="1"/>
  <c r="L536" i="1"/>
  <c r="I549" i="1"/>
  <c r="L537" i="1"/>
  <c r="I550" i="1" s="1"/>
  <c r="I552" i="1" s="1"/>
  <c r="L538" i="1"/>
  <c r="I551" i="1"/>
  <c r="L541" i="1"/>
  <c r="J549" i="1" s="1"/>
  <c r="L542" i="1"/>
  <c r="J550" i="1"/>
  <c r="L543" i="1"/>
  <c r="J551" i="1" s="1"/>
  <c r="J552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C9" i="2"/>
  <c r="D9" i="2"/>
  <c r="E9" i="2"/>
  <c r="F9" i="2"/>
  <c r="I440" i="1"/>
  <c r="J10" i="1"/>
  <c r="G9" i="2" s="1"/>
  <c r="C10" i="2"/>
  <c r="C11" i="2"/>
  <c r="D11" i="2"/>
  <c r="E11" i="2"/>
  <c r="F11" i="2"/>
  <c r="I441" i="1"/>
  <c r="J12" i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G16" i="2" s="1"/>
  <c r="C17" i="2"/>
  <c r="D17" i="2"/>
  <c r="E17" i="2"/>
  <c r="F17" i="2"/>
  <c r="I445" i="1"/>
  <c r="J18" i="1" s="1"/>
  <c r="G17" i="2" s="1"/>
  <c r="C21" i="2"/>
  <c r="D21" i="2"/>
  <c r="E21" i="2"/>
  <c r="F21" i="2"/>
  <c r="F31" i="2" s="1"/>
  <c r="I448" i="1"/>
  <c r="J22" i="1" s="1"/>
  <c r="C22" i="2"/>
  <c r="D22" i="2"/>
  <c r="D31" i="2" s="1"/>
  <c r="E22" i="2"/>
  <c r="F22" i="2"/>
  <c r="I449" i="1"/>
  <c r="J23" i="1"/>
  <c r="C23" i="2"/>
  <c r="D23" i="2"/>
  <c r="E23" i="2"/>
  <c r="F23" i="2"/>
  <c r="I450" i="1"/>
  <c r="J24" i="1"/>
  <c r="G23" i="2" s="1"/>
  <c r="C24" i="2"/>
  <c r="D24" i="2"/>
  <c r="E24" i="2"/>
  <c r="F24" i="2"/>
  <c r="C25" i="2"/>
  <c r="F25" i="2"/>
  <c r="C26" i="2"/>
  <c r="C31" i="2" s="1"/>
  <c r="C51" i="2" s="1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 s="1"/>
  <c r="C34" i="2"/>
  <c r="D34" i="2"/>
  <c r="D50" i="2" s="1"/>
  <c r="D51" i="2" s="1"/>
  <c r="E34" i="2"/>
  <c r="F34" i="2"/>
  <c r="F50" i="2" s="1"/>
  <c r="C35" i="2"/>
  <c r="D35" i="2"/>
  <c r="E35" i="2"/>
  <c r="F35" i="2"/>
  <c r="I454" i="1"/>
  <c r="J49" i="1"/>
  <c r="G48" i="2"/>
  <c r="I456" i="1"/>
  <c r="J43" i="1" s="1"/>
  <c r="G42" i="2" s="1"/>
  <c r="I457" i="1"/>
  <c r="J37" i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D81" i="2" s="1"/>
  <c r="E69" i="2"/>
  <c r="E70" i="2"/>
  <c r="F69" i="2"/>
  <c r="F70" i="2" s="1"/>
  <c r="F81" i="2" s="1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 s="1"/>
  <c r="C79" i="2"/>
  <c r="D79" i="2"/>
  <c r="E79" i="2"/>
  <c r="C80" i="2"/>
  <c r="E80" i="2"/>
  <c r="C85" i="2"/>
  <c r="D85" i="2"/>
  <c r="E85" i="2"/>
  <c r="F85" i="2"/>
  <c r="C87" i="2"/>
  <c r="E87" i="2"/>
  <c r="E91" i="2" s="1"/>
  <c r="F87" i="2"/>
  <c r="C88" i="2"/>
  <c r="D88" i="2"/>
  <c r="E88" i="2"/>
  <c r="F88" i="2"/>
  <c r="C89" i="2"/>
  <c r="D89" i="2"/>
  <c r="E89" i="2"/>
  <c r="F89" i="2"/>
  <c r="C90" i="2"/>
  <c r="C93" i="2"/>
  <c r="F93" i="2"/>
  <c r="F103" i="2" s="1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C103" i="2" s="1"/>
  <c r="D101" i="2"/>
  <c r="E101" i="2"/>
  <c r="F101" i="2"/>
  <c r="C102" i="2"/>
  <c r="D102" i="2"/>
  <c r="E102" i="2"/>
  <c r="F102" i="2"/>
  <c r="C109" i="2"/>
  <c r="E109" i="2"/>
  <c r="C113" i="2"/>
  <c r="E113" i="2"/>
  <c r="E114" i="2"/>
  <c r="D115" i="2"/>
  <c r="F115" i="2"/>
  <c r="G115" i="2"/>
  <c r="E118" i="2"/>
  <c r="E119" i="2"/>
  <c r="E122" i="2"/>
  <c r="E123" i="2"/>
  <c r="E124" i="2"/>
  <c r="C125" i="2"/>
  <c r="E125" i="2"/>
  <c r="F128" i="2"/>
  <c r="G128" i="2"/>
  <c r="C130" i="2"/>
  <c r="C144" i="2" s="1"/>
  <c r="E130" i="2"/>
  <c r="D134" i="2"/>
  <c r="D144" i="2"/>
  <c r="E134" i="2"/>
  <c r="F134" i="2"/>
  <c r="K419" i="1"/>
  <c r="K427" i="1"/>
  <c r="K433" i="1"/>
  <c r="L263" i="1"/>
  <c r="C135" i="2" s="1"/>
  <c r="E135" i="2"/>
  <c r="L264" i="1"/>
  <c r="C136" i="2" s="1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E157" i="2"/>
  <c r="F157" i="2"/>
  <c r="B158" i="2"/>
  <c r="C158" i="2"/>
  <c r="G158" i="2"/>
  <c r="D158" i="2"/>
  <c r="E158" i="2"/>
  <c r="F158" i="2"/>
  <c r="B159" i="2"/>
  <c r="C159" i="2"/>
  <c r="D159" i="2"/>
  <c r="E159" i="2"/>
  <c r="F159" i="2"/>
  <c r="B160" i="2"/>
  <c r="G160" i="2" s="1"/>
  <c r="C160" i="2"/>
  <c r="D160" i="2"/>
  <c r="E160" i="2"/>
  <c r="F160" i="2"/>
  <c r="F500" i="1"/>
  <c r="B161" i="2"/>
  <c r="G500" i="1"/>
  <c r="C161" i="2" s="1"/>
  <c r="G161" i="2" s="1"/>
  <c r="H500" i="1"/>
  <c r="D161" i="2"/>
  <c r="I500" i="1"/>
  <c r="E161" i="2" s="1"/>
  <c r="J500" i="1"/>
  <c r="F161" i="2"/>
  <c r="B162" i="2"/>
  <c r="C162" i="2"/>
  <c r="D162" i="2"/>
  <c r="G162" i="2" s="1"/>
  <c r="E162" i="2"/>
  <c r="F162" i="2"/>
  <c r="B163" i="2"/>
  <c r="C163" i="2"/>
  <c r="D163" i="2"/>
  <c r="E163" i="2"/>
  <c r="F163" i="2"/>
  <c r="G163" i="2" s="1"/>
  <c r="F503" i="1"/>
  <c r="B164" i="2" s="1"/>
  <c r="G503" i="1"/>
  <c r="C164" i="2" s="1"/>
  <c r="H503" i="1"/>
  <c r="D164" i="2"/>
  <c r="I503" i="1"/>
  <c r="K503" i="1" s="1"/>
  <c r="J503" i="1"/>
  <c r="F164" i="2"/>
  <c r="F19" i="1"/>
  <c r="G617" i="1" s="1"/>
  <c r="G19" i="1"/>
  <c r="H19" i="1"/>
  <c r="I19" i="1"/>
  <c r="F32" i="1"/>
  <c r="G32" i="1"/>
  <c r="H32" i="1"/>
  <c r="I32" i="1"/>
  <c r="G52" i="1"/>
  <c r="H618" i="1" s="1"/>
  <c r="H51" i="1"/>
  <c r="H52" i="1" s="1"/>
  <c r="H619" i="1" s="1"/>
  <c r="J619" i="1" s="1"/>
  <c r="I51" i="1"/>
  <c r="I52" i="1"/>
  <c r="H620" i="1" s="1"/>
  <c r="J620" i="1" s="1"/>
  <c r="F177" i="1"/>
  <c r="I177" i="1"/>
  <c r="F183" i="1"/>
  <c r="G183" i="1"/>
  <c r="H183" i="1"/>
  <c r="I183" i="1"/>
  <c r="I192" i="1" s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G434" i="1" s="1"/>
  <c r="H427" i="1"/>
  <c r="I427" i="1"/>
  <c r="I434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/>
  <c r="F452" i="1"/>
  <c r="G452" i="1"/>
  <c r="G461" i="1" s="1"/>
  <c r="H640" i="1" s="1"/>
  <c r="J640" i="1" s="1"/>
  <c r="H452" i="1"/>
  <c r="H461" i="1" s="1"/>
  <c r="H641" i="1" s="1"/>
  <c r="J641" i="1" s="1"/>
  <c r="F460" i="1"/>
  <c r="G460" i="1"/>
  <c r="H460" i="1"/>
  <c r="F461" i="1"/>
  <c r="F470" i="1"/>
  <c r="G470" i="1"/>
  <c r="H470" i="1"/>
  <c r="H476" i="1" s="1"/>
  <c r="H624" i="1" s="1"/>
  <c r="J624" i="1" s="1"/>
  <c r="I470" i="1"/>
  <c r="J470" i="1"/>
  <c r="F474" i="1"/>
  <c r="G474" i="1"/>
  <c r="H474" i="1"/>
  <c r="I474" i="1"/>
  <c r="J474" i="1"/>
  <c r="J476" i="1"/>
  <c r="H626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K545" i="1" s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 s="1"/>
  <c r="J598" i="1"/>
  <c r="H651" i="1" s="1"/>
  <c r="K602" i="1"/>
  <c r="K605" i="1" s="1"/>
  <c r="G648" i="1" s="1"/>
  <c r="J648" i="1" s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J618" i="1" s="1"/>
  <c r="G619" i="1"/>
  <c r="G620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J639" i="1" s="1"/>
  <c r="H639" i="1"/>
  <c r="G640" i="1"/>
  <c r="G641" i="1"/>
  <c r="G643" i="1"/>
  <c r="H643" i="1"/>
  <c r="G644" i="1"/>
  <c r="H644" i="1"/>
  <c r="J644" i="1" s="1"/>
  <c r="G645" i="1"/>
  <c r="H645" i="1"/>
  <c r="G651" i="1"/>
  <c r="J651" i="1" s="1"/>
  <c r="G652" i="1"/>
  <c r="H652" i="1"/>
  <c r="G653" i="1"/>
  <c r="H653" i="1"/>
  <c r="G654" i="1"/>
  <c r="H654" i="1"/>
  <c r="H655" i="1"/>
  <c r="F192" i="1"/>
  <c r="C18" i="2"/>
  <c r="C26" i="10"/>
  <c r="L351" i="1"/>
  <c r="C70" i="2"/>
  <c r="D62" i="2"/>
  <c r="D63" i="2" s="1"/>
  <c r="D104" i="2" s="1"/>
  <c r="D18" i="13"/>
  <c r="C18" i="13" s="1"/>
  <c r="D18" i="2"/>
  <c r="F78" i="2"/>
  <c r="G157" i="2"/>
  <c r="F18" i="2"/>
  <c r="E103" i="2"/>
  <c r="D91" i="2"/>
  <c r="E62" i="2"/>
  <c r="E63" i="2"/>
  <c r="D19" i="13"/>
  <c r="C19" i="13" s="1"/>
  <c r="E78" i="2"/>
  <c r="E81" i="2"/>
  <c r="L427" i="1"/>
  <c r="H112" i="1"/>
  <c r="J571" i="1"/>
  <c r="K571" i="1"/>
  <c r="L433" i="1"/>
  <c r="L419" i="1"/>
  <c r="L434" i="1" s="1"/>
  <c r="G638" i="1" s="1"/>
  <c r="J638" i="1" s="1"/>
  <c r="I169" i="1"/>
  <c r="H169" i="1"/>
  <c r="J643" i="1"/>
  <c r="F476" i="1"/>
  <c r="H622" i="1" s="1"/>
  <c r="I476" i="1"/>
  <c r="H625" i="1"/>
  <c r="J625" i="1" s="1"/>
  <c r="G476" i="1"/>
  <c r="H623" i="1" s="1"/>
  <c r="J623" i="1" s="1"/>
  <c r="G338" i="1"/>
  <c r="G352" i="1" s="1"/>
  <c r="F169" i="1"/>
  <c r="C39" i="10" s="1"/>
  <c r="J140" i="1"/>
  <c r="F571" i="1"/>
  <c r="H140" i="1"/>
  <c r="L401" i="1"/>
  <c r="C139" i="2"/>
  <c r="L393" i="1"/>
  <c r="F22" i="13"/>
  <c r="H571" i="1"/>
  <c r="L560" i="1"/>
  <c r="J545" i="1"/>
  <c r="G192" i="1"/>
  <c r="H192" i="1"/>
  <c r="C35" i="10"/>
  <c r="L309" i="1"/>
  <c r="E16" i="13"/>
  <c r="C16" i="13" s="1"/>
  <c r="J655" i="1"/>
  <c r="J645" i="1"/>
  <c r="L570" i="1"/>
  <c r="I571" i="1"/>
  <c r="G36" i="2"/>
  <c r="L565" i="1"/>
  <c r="L571" i="1" s="1"/>
  <c r="C22" i="13"/>
  <c r="C138" i="2"/>
  <c r="C141" i="2" s="1"/>
  <c r="F62" i="2"/>
  <c r="F63" i="2" s="1"/>
  <c r="F104" i="2" s="1"/>
  <c r="C23" i="10"/>
  <c r="G159" i="2"/>
  <c r="G103" i="2"/>
  <c r="F91" i="2"/>
  <c r="E50" i="2"/>
  <c r="C50" i="2"/>
  <c r="E18" i="2"/>
  <c r="E144" i="2"/>
  <c r="L407" i="1"/>
  <c r="C140" i="2"/>
  <c r="L408" i="1"/>
  <c r="H646" i="1" s="1"/>
  <c r="J654" i="1"/>
  <c r="J653" i="1"/>
  <c r="J434" i="1"/>
  <c r="F434" i="1"/>
  <c r="K434" i="1"/>
  <c r="G134" i="2"/>
  <c r="G144" i="2" s="1"/>
  <c r="G145" i="2" s="1"/>
  <c r="G169" i="1"/>
  <c r="G140" i="1"/>
  <c r="H434" i="1"/>
  <c r="D103" i="2"/>
  <c r="I140" i="1"/>
  <c r="J652" i="1"/>
  <c r="G571" i="1"/>
  <c r="K500" i="1"/>
  <c r="I460" i="1"/>
  <c r="I461" i="1" s="1"/>
  <c r="H642" i="1" s="1"/>
  <c r="J642" i="1" s="1"/>
  <c r="G22" i="2"/>
  <c r="I452" i="1"/>
  <c r="G11" i="2"/>
  <c r="G637" i="1"/>
  <c r="J637" i="1" s="1"/>
  <c r="E31" i="2"/>
  <c r="E51" i="2" s="1"/>
  <c r="F112" i="1"/>
  <c r="C62" i="2"/>
  <c r="C63" i="2" s="1"/>
  <c r="C104" i="2" s="1"/>
  <c r="H25" i="13"/>
  <c r="C25" i="13" s="1"/>
  <c r="L256" i="1"/>
  <c r="D17" i="13"/>
  <c r="C17" i="13" s="1"/>
  <c r="C20" i="10"/>
  <c r="C121" i="2"/>
  <c r="L247" i="1"/>
  <c r="C112" i="2"/>
  <c r="G650" i="1"/>
  <c r="J650" i="1" s="1"/>
  <c r="G662" i="1"/>
  <c r="I662" i="1"/>
  <c r="C124" i="2"/>
  <c r="C123" i="2"/>
  <c r="D14" i="13"/>
  <c r="C14" i="13" s="1"/>
  <c r="C19" i="10"/>
  <c r="E8" i="13"/>
  <c r="C8" i="13" s="1"/>
  <c r="C120" i="2"/>
  <c r="C16" i="10"/>
  <c r="C15" i="10"/>
  <c r="H257" i="1"/>
  <c r="H271" i="1" s="1"/>
  <c r="L229" i="1"/>
  <c r="G660" i="1" s="1"/>
  <c r="G664" i="1" s="1"/>
  <c r="G257" i="1"/>
  <c r="G271" i="1" s="1"/>
  <c r="C110" i="2"/>
  <c r="F257" i="1"/>
  <c r="F271" i="1" s="1"/>
  <c r="D5" i="13"/>
  <c r="C5" i="13" s="1"/>
  <c r="K257" i="1"/>
  <c r="K271" i="1" s="1"/>
  <c r="J257" i="1"/>
  <c r="J271" i="1" s="1"/>
  <c r="I257" i="1"/>
  <c r="I271" i="1" s="1"/>
  <c r="C10" i="10"/>
  <c r="D15" i="13"/>
  <c r="C15" i="13"/>
  <c r="G649" i="1"/>
  <c r="J649" i="1" s="1"/>
  <c r="H647" i="1"/>
  <c r="D12" i="13"/>
  <c r="C12" i="13"/>
  <c r="C122" i="2"/>
  <c r="E13" i="13"/>
  <c r="C13" i="13" s="1"/>
  <c r="C119" i="2"/>
  <c r="C128" i="2" s="1"/>
  <c r="D7" i="13"/>
  <c r="C7" i="13"/>
  <c r="C118" i="2"/>
  <c r="D6" i="13"/>
  <c r="C6" i="13" s="1"/>
  <c r="L211" i="1"/>
  <c r="L257" i="1" s="1"/>
  <c r="L271" i="1" s="1"/>
  <c r="G632" i="1" s="1"/>
  <c r="J632" i="1" s="1"/>
  <c r="H33" i="13"/>
  <c r="G193" i="1"/>
  <c r="G628" i="1" s="1"/>
  <c r="J628" i="1" s="1"/>
  <c r="C91" i="2"/>
  <c r="C78" i="2"/>
  <c r="C81" i="2"/>
  <c r="I369" i="1"/>
  <c r="H634" i="1" s="1"/>
  <c r="J634" i="1" s="1"/>
  <c r="H661" i="1"/>
  <c r="F661" i="1"/>
  <c r="I661" i="1" s="1"/>
  <c r="D29" i="13"/>
  <c r="C29" i="13"/>
  <c r="G661" i="1"/>
  <c r="L362" i="1"/>
  <c r="D127" i="2"/>
  <c r="D128" i="2"/>
  <c r="D145" i="2" s="1"/>
  <c r="H193" i="1"/>
  <c r="G629" i="1" s="1"/>
  <c r="J629" i="1" s="1"/>
  <c r="G635" i="1"/>
  <c r="J635" i="1" s="1"/>
  <c r="C27" i="10"/>
  <c r="I663" i="1"/>
  <c r="K598" i="1"/>
  <c r="G647" i="1" s="1"/>
  <c r="J647" i="1" s="1"/>
  <c r="K338" i="1"/>
  <c r="K352" i="1"/>
  <c r="C18" i="10"/>
  <c r="C17" i="10"/>
  <c r="L337" i="1"/>
  <c r="L328" i="1"/>
  <c r="H660" i="1"/>
  <c r="H664" i="1" s="1"/>
  <c r="C12" i="10"/>
  <c r="E112" i="2"/>
  <c r="F31" i="13"/>
  <c r="F33" i="13" s="1"/>
  <c r="I338" i="1"/>
  <c r="I352" i="1" s="1"/>
  <c r="H338" i="1"/>
  <c r="H352" i="1" s="1"/>
  <c r="C11" i="10"/>
  <c r="F338" i="1"/>
  <c r="F352" i="1" s="1"/>
  <c r="J338" i="1"/>
  <c r="J352" i="1" s="1"/>
  <c r="C13" i="10"/>
  <c r="L290" i="1"/>
  <c r="F660" i="1" s="1"/>
  <c r="F664" i="1" s="1"/>
  <c r="F667" i="1" s="1"/>
  <c r="E110" i="2"/>
  <c r="E115" i="2" s="1"/>
  <c r="E145" i="2" s="1"/>
  <c r="I660" i="1"/>
  <c r="I664" i="1" s="1"/>
  <c r="I672" i="1" s="1"/>
  <c r="C7" i="10" s="1"/>
  <c r="H648" i="1"/>
  <c r="L338" i="1"/>
  <c r="L352" i="1" s="1"/>
  <c r="G633" i="1" s="1"/>
  <c r="J633" i="1" s="1"/>
  <c r="F672" i="1"/>
  <c r="C4" i="10" s="1"/>
  <c r="G622" i="1"/>
  <c r="J622" i="1" s="1"/>
  <c r="L529" i="1"/>
  <c r="G552" i="1"/>
  <c r="I545" i="1"/>
  <c r="G545" i="1"/>
  <c r="L524" i="1"/>
  <c r="K551" i="1"/>
  <c r="F545" i="1"/>
  <c r="L544" i="1"/>
  <c r="H545" i="1"/>
  <c r="L534" i="1"/>
  <c r="L545" i="1"/>
  <c r="G667" i="1" l="1"/>
  <c r="G672" i="1"/>
  <c r="C5" i="10" s="1"/>
  <c r="I193" i="1"/>
  <c r="G630" i="1" s="1"/>
  <c r="J630" i="1" s="1"/>
  <c r="C36" i="10"/>
  <c r="H672" i="1"/>
  <c r="C6" i="10" s="1"/>
  <c r="H667" i="1"/>
  <c r="G21" i="2"/>
  <c r="G31" i="2" s="1"/>
  <c r="J32" i="1"/>
  <c r="G104" i="2"/>
  <c r="F51" i="2"/>
  <c r="G33" i="13"/>
  <c r="G38" i="2"/>
  <c r="G50" i="2" s="1"/>
  <c r="G51" i="2" s="1"/>
  <c r="J51" i="1"/>
  <c r="I667" i="1"/>
  <c r="J617" i="1"/>
  <c r="F193" i="1"/>
  <c r="G627" i="1" s="1"/>
  <c r="J627" i="1" s="1"/>
  <c r="C38" i="10"/>
  <c r="C31" i="13"/>
  <c r="K549" i="1"/>
  <c r="K552" i="1" s="1"/>
  <c r="E104" i="2"/>
  <c r="G8" i="2"/>
  <c r="G18" i="2" s="1"/>
  <c r="J19" i="1"/>
  <c r="G621" i="1" s="1"/>
  <c r="J193" i="1"/>
  <c r="C145" i="2"/>
  <c r="E33" i="13"/>
  <c r="D35" i="13" s="1"/>
  <c r="E164" i="2"/>
  <c r="G164" i="2" s="1"/>
  <c r="C29" i="10"/>
  <c r="C24" i="10"/>
  <c r="C28" i="10" s="1"/>
  <c r="C30" i="10" l="1"/>
  <c r="D20" i="10"/>
  <c r="D10" i="10"/>
  <c r="D19" i="10"/>
  <c r="D13" i="10"/>
  <c r="D22" i="10"/>
  <c r="D27" i="10"/>
  <c r="D26" i="10"/>
  <c r="D15" i="10"/>
  <c r="D11" i="10"/>
  <c r="D23" i="10"/>
  <c r="D16" i="10"/>
  <c r="D18" i="10"/>
  <c r="D21" i="10"/>
  <c r="D25" i="10"/>
  <c r="D12" i="10"/>
  <c r="D17" i="10"/>
  <c r="G646" i="1"/>
  <c r="J646" i="1" s="1"/>
  <c r="G631" i="1"/>
  <c r="J631" i="1" s="1"/>
  <c r="C41" i="10"/>
  <c r="D38" i="10" s="1"/>
  <c r="J621" i="1"/>
  <c r="G626" i="1"/>
  <c r="J52" i="1"/>
  <c r="H621" i="1" s="1"/>
  <c r="D24" i="10"/>
  <c r="J626" i="1" l="1"/>
  <c r="H656" i="1"/>
  <c r="D28" i="10"/>
  <c r="D37" i="10"/>
  <c r="D35" i="10"/>
  <c r="D40" i="10"/>
  <c r="D39" i="10"/>
  <c r="D36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<sst xmlns="http://schemas.openxmlformats.org/spreadsheetml/2006/main" count="3968" uniqueCount="926">
  <si>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</si>
  <si>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</si>
  <si>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</si>
  <si>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</si>
  <si>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</si>
  <si>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</si>
  <si>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</si>
  <si>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</si>
  <si>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</si>
  <si>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</si>
  <si>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</si>
  <si>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</si>
  <si>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</si>
  <si>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</si>
  <si>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</si>
  <si>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</si>
  <si>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</si>
  <si>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</si>
  <si>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</si>
  <si>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</si>
  <si>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</si>
  <si>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</si>
  <si>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</si>
  <si>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</si>
  <si>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</si>
  <si>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</si>
  <si>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</si>
  <si>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</si>
  <si>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</si>
  <si>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</si>
  <si>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</si>
  <si>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</si>
  <si>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</si>
  <si>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</si>
  <si>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</si>
  <si>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</si>
  <si>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</si>
  <si>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</si>
  <si>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</si>
  <si>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</si>
  <si>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</si>
  <si>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</si>
  <si>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</si>
  <si>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</si>
  <si>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</si>
  <si>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</si>
  <si>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</si>
  <si>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</si>
  <si>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</si>
  <si>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</si>
  <si>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</si>
  <si>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</si>
  <si>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</si>
  <si>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</si>
  <si>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</si>
  <si>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</si>
  <si>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</si>
  <si>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</si>
  <si>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</si>
  <si>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</si>
  <si>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</si>
  <si>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</si>
  <si>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</si>
  <si>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</si>
  <si>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</si>
  <si>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</si>
  <si>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</si>
  <si>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</si>
  <si>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</si>
  <si>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</si>
  <si>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</si>
  <si>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</si>
  <si>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</si>
  <si>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</si>
  <si>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</si>
  <si>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</si>
  <si>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</si>
  <si>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</si>
  <si>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</si>
  <si>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</si>
  <si>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</si>
  <si>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</si>
  <si>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</si>
  <si>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</si>
  <si>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</si>
  <si>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</si>
  <si>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</si>
  <si>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</si>
  <si>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</si>
  <si>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</si>
  <si>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</si>
  <si>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</si>
  <si>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</si>
  <si>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</si>
  <si>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</si>
  <si>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</si>
  <si>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</si>
  <si>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</si>
  <si>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</si>
  <si>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</si>
  <si>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</si>
  <si>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</si>
  <si>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</si>
  <si>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</si>
  <si>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</si>
  <si>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</si>
  <si>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</si>
  <si>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</si>
  <si>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</si>
  <si>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</si>
  <si>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</si>
  <si>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</si>
  <si>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</si>
  <si>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</si>
  <si>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</si>
  <si>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</si>
  <si>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</si>
  <si>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</si>
  <si>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</si>
  <si>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</si>
  <si>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</si>
  <si>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</si>
  <si>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</si>
  <si>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</si>
  <si>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</si>
  <si>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</si>
  <si>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</si>
  <si>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</si>
  <si>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</si>
  <si>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</si>
  <si>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</si>
  <si>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</si>
  <si>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</si>
  <si>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</si>
  <si>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</si>
  <si>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</si>
  <si>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</si>
  <si>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</si>
  <si>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</si>
  <si>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</si>
  <si>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</si>
  <si>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</si>
  <si>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</si>
  <si>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</si>
  <si>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</si>
  <si>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</si>
  <si>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</si>
  <si>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</si>
  <si>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</si>
  <si>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</si>
  <si>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</si>
  <si>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</si>
  <si>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</si>
  <si>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</si>
  <si>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</si>
  <si>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</si>
  <si>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</si>
  <si>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</si>
  <si>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</si>
  <si>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</si>
  <si>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</si>
  <si>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</si>
  <si>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</si>
  <si>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</si>
  <si>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</si>
  <si>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</si>
  <si>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</si>
  <si>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</si>
  <si>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</si>
  <si>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</si>
  <si>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</si>
  <si>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</si>
  <si>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</si>
  <si>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</si>
  <si>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</si>
  <si>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</si>
  <si>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</si>
  <si>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</si>
  <si>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</si>
  <si>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</si>
  <si>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</si>
  <si>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</si>
  <si>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</si>
  <si>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</si>
  <si>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</si>
  <si>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</si>
  <si>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</si>
  <si>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</si>
  <si>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</si>
  <si>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</si>
  <si>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</si>
  <si>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</si>
  <si>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</si>
  <si>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</si>
  <si>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</si>
  <si>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</si>
  <si>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</si>
  <si>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</si>
  <si>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</si>
  <si>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</si>
  <si>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</si>
  <si>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</si>
  <si>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</si>
  <si>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</si>
  <si>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</si>
  <si>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</si>
  <si>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</si>
  <si>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</si>
  <si>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</si>
  <si>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</si>
  <si>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</si>
  <si>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</si>
  <si>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</si>
  <si>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</si>
  <si>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</si>
  <si>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</si>
  <si>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</si>
  <si>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</si>
  <si>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</si>
  <si>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</si>
  <si>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</si>
  <si>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</si>
  <si>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</si>
  <si>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</si>
  <si>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</si>
  <si>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</si>
  <si>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</si>
  <si>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</si>
  <si>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</si>
  <si>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</si>
  <si>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</si>
  <si>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</si>
  <si>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</si>
  <si>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</si>
  <si>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</si>
  <si>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</si>
  <si>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</si>
  <si>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</si>
  <si>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</si>
  <si>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</si>
  <si>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</si>
  <si>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</si>
  <si>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</si>
  <si>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</si>
  <si>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</si>
  <si>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</si>
  <si>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</si>
  <si>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</si>
  <si>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</si>
  <si>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</si>
  <si>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</si>
  <si>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</si>
  <si>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</si>
  <si>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</si>
  <si>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</si>
  <si>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</si>
  <si>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</si>
  <si>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</si>
  <si>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</si>
  <si>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</si>
  <si>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</si>
  <si>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</si>
  <si>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</si>
  <si>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</si>
  <si>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</si>
  <si>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</si>
  <si>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</si>
  <si>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</si>
  <si>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</si>
  <si>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</si>
  <si>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</si>
  <si>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</si>
  <si>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</si>
  <si>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</si>
  <si>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</si>
  <si>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</si>
  <si>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</si>
  <si>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</si>
  <si>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</si>
  <si>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</si>
  <si>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</si>
  <si>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</si>
  <si>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</si>
  <si>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</si>
  <si>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</si>
  <si>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</si>
  <si>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</si>
  <si>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</si>
  <si>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</si>
  <si>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</si>
  <si>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</si>
  <si>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</si>
  <si>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</si>
  <si>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</si>
  <si>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</si>
  <si>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</si>
  <si>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</si>
  <si>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</si>
  <si>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</si>
  <si>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</si>
  <si>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</si>
  <si>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</si>
  <si>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</si>
  <si>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</si>
  <si>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</si>
  <si>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</si>
  <si>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</si>
  <si>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</si>
  <si>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</si>
  <si>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</si>
  <si>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</si>
  <si>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</si>
  <si>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</si>
  <si>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</si>
  <si>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</si>
  <si>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</si>
  <si>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</si>
  <si>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</si>
  <si>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</si>
  <si>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</si>
  <si>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</si>
  <si>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</si>
  <si>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</si>
  <si>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</si>
  <si>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</si>
  <si>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</si>
  <si>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</si>
  <si>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</si>
  <si>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</si>
  <si>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</si>
  <si>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</si>
  <si>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</si>
  <si>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</si>
  <si>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</si>
  <si>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</si>
  <si>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</si>
  <si>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</si>
  <si>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</si>
  <si>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</si>
  <si>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</si>
  <si>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</si>
  <si>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</si>
  <si>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</si>
  <si>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</si>
  <si>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</si>
  <si>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</si>
  <si>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</si>
  <si>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</si>
  <si>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</si>
  <si>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</si>
  <si>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</si>
  <si>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</si>
  <si>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</si>
  <si>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</si>
  <si>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</si>
  <si>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</si>
  <si>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</si>
  <si>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</si>
  <si>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</si>
  <si>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</si>
  <si>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</si>
  <si>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</si>
  <si>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</si>
  <si>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</si>
  <si>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</si>
  <si>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</si>
  <si>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</si>
  <si>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</si>
  <si>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</si>
  <si>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</si>
  <si>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</si>
  <si>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</si>
  <si>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</si>
  <si>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</si>
  <si>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</si>
  <si>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</si>
  <si>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</si>
  <si>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</si>
  <si>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</si>
  <si>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</si>
  <si>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</si>
  <si>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</si>
  <si>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</si>
  <si>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</si>
  <si>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</si>
  <si>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</si>
  <si>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</si>
  <si>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</si>
  <si>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</si>
  <si>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</si>
  <si>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</si>
  <si>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</si>
  <si>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</si>
  <si>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</si>
  <si>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</si>
  <si>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</si>
  <si>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</si>
  <si>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</si>
  <si>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</si>
  <si>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</si>
  <si>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</si>
  <si>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</si>
  <si>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</si>
  <si>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</si>
  <si>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</si>
  <si>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</si>
  <si>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</si>
  <si>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</si>
  <si>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</si>
  <si>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</si>
  <si>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</si>
  <si>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</si>
  <si>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</si>
  <si>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</si>
  <si>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</si>
  <si>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</si>
  <si>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</si>
  <si>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</si>
  <si>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</si>
  <si>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</si>
  <si>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</si>
  <si>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</si>
  <si>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</si>
  <si>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</si>
  <si>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</si>
  <si>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</si>
  <si>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</si>
  <si>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</si>
  <si>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</si>
  <si>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</si>
  <si>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</si>
  <si>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</si>
  <si>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</si>
  <si>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</si>
  <si>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</si>
  <si>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</si>
  <si>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</si>
  <si>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</si>
  <si>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</si>
  <si>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</si>
  <si>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</si>
  <si>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</si>
  <si>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</si>
  <si>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</si>
  <si>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</si>
  <si>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</si>
  <si>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</si>
  <si>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</si>
  <si>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</si>
  <si>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</si>
  <si>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</si>
  <si>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</si>
  <si>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</si>
  <si>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</si>
  <si>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</si>
  <si>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</si>
  <si>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</si>
  <si>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</si>
  <si>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</si>
  <si>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</si>
  <si>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</si>
  <si>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</si>
  <si>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</si>
  <si>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</si>
  <si>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</si>
  <si>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</si>
  <si>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</si>
  <si>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</si>
  <si>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</si>
  <si>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</si>
  <si>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</si>
  <si>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</si>
  <si>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</si>
  <si>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</si>
  <si>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</si>
  <si>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</si>
  <si>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</si>
  <si>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</si>
  <si>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</si>
  <si>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</si>
  <si>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</si>
  <si>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</si>
  <si>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</si>
  <si>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</si>
  <si>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</si>
  <si>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</si>
  <si>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</si>
  <si>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</si>
  <si>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</si>
  <si>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</si>
  <si>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</si>
  <si>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</si>
  <si>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</si>
  <si>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</si>
  <si>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</si>
  <si>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</si>
  <si>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</si>
  <si>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</si>
  <si>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</si>
  <si>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</si>
  <si>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</si>
  <si>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</si>
  <si>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</si>
  <si>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</si>
  <si>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</si>
  <si>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</si>
  <si>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</si>
  <si>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</si>
  <si>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</si>
  <si>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</si>
  <si>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</si>
  <si>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</si>
  <si>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</si>
  <si>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</si>
  <si>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</si>
  <si>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</si>
  <si>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</si>
  <si>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</si>
  <si>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</si>
  <si>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</si>
  <si>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</si>
  <si>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</si>
  <si>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</si>
  <si>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</si>
  <si>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</si>
  <si>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</si>
  <si>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</si>
  <si>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</si>
  <si>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</si>
  <si>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</si>
  <si>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</si>
  <si>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</si>
  <si>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</si>
  <si>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</si>
  <si>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</si>
  <si>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</si>
  <si>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</si>
  <si>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</si>
  <si>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</si>
  <si>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</si>
  <si>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</si>
  <si>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</si>
  <si>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</si>
  <si>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</si>
  <si>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</si>
  <si>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</si>
  <si>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</si>
  <si>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</si>
  <si>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</si>
  <si>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</si>
  <si>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</si>
  <si>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</si>
  <si>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</si>
  <si>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</si>
  <si>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</si>
  <si>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</si>
  <si>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</si>
  <si>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</si>
  <si>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</si>
  <si>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</si>
  <si>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</si>
  <si>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</si>
  <si>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</si>
  <si>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</si>
  <si>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</si>
  <si>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</si>
  <si>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</si>
  <si>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</si>
  <si>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</si>
  <si>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</si>
  <si>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</si>
  <si>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</si>
  <si>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</si>
  <si>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</si>
  <si>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</si>
  <si>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</si>
  <si>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</si>
  <si>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</si>
  <si>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</si>
  <si>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</si>
  <si>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</si>
  <si>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</si>
  <si>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</si>
  <si>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</si>
  <si>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</si>
  <si>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</si>
  <si>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</si>
  <si>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</si>
  <si>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</si>
  <si>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</si>
  <si>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</si>
  <si>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</si>
  <si>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</si>
  <si>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</si>
  <si>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</si>
  <si>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</si>
  <si>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</si>
  <si>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</si>
  <si>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</si>
  <si>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</si>
  <si>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</si>
  <si>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</si>
  <si>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</si>
  <si>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</si>
  <si>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</si>
  <si>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</si>
  <si>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</si>
  <si>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</si>
  <si>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</si>
  <si>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</si>
  <si>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</si>
  <si>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</si>
  <si>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</si>
  <si>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</si>
  <si>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</si>
  <si>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</si>
  <si>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</si>
  <si>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</si>
  <si>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</si>
  <si>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</si>
  <si>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</si>
  <si>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</si>
  <si>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</si>
  <si>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</si>
  <si>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</si>
  <si>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</si>
  <si>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</si>
  <si>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</si>
  <si>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</si>
  <si>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</si>
  <si>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</si>
  <si>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</si>
  <si>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</si>
  <si>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</si>
  <si>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</si>
  <si>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</si>
  <si>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</si>
  <si>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</si>
  <si>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</si>
  <si>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</si>
  <si>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</si>
  <si>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</si>
  <si>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</si>
  <si>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</si>
  <si>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</si>
  <si>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</si>
  <si>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</si>
  <si>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</si>
  <si>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</si>
  <si>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</si>
  <si>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</si>
  <si>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</si>
  <si>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</si>
  <si>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</si>
  <si>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</si>
  <si>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</si>
  <si>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</si>
  <si>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</si>
  <si>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</si>
  <si>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</si>
  <si>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</si>
  <si>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</si>
  <si>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</si>
  <si>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</si>
  <si>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</si>
  <si>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</si>
  <si>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</si>
  <si>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</si>
  <si>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</si>
  <si>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</si>
  <si>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</si>
  <si>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</si>
  <si>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</si>
  <si>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</si>
  <si>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</si>
  <si>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</si>
  <si>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</si>
  <si>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</si>
  <si>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</si>
  <si>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</si>
  <si>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</si>
  <si>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</si>
  <si>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</si>
  <si>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</si>
  <si>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</si>
  <si>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</si>
  <si>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</si>
  <si>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</si>
  <si>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</si>
  <si>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</si>
  <si>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</si>
  <si>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</si>
  <si>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</si>
  <si>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</si>
  <si>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</si>
  <si>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</si>
  <si>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</si>
  <si>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</si>
  <si>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</si>
  <si>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</si>
  <si>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</si>
  <si>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</si>
  <si>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</si>
  <si>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</si>
  <si>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</si>
  <si>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</si>
  <si>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</si>
  <si>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</si>
  <si>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</si>
  <si>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</si>
  <si>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</si>
  <si>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</si>
  <si>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</si>
  <si>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</si>
  <si>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</si>
  <si>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</si>
  <si>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</si>
  <si>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</si>
  <si>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</si>
  <si>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</si>
  <si>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</si>
  <si>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</si>
  <si>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</si>
  <si>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</si>
  <si>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</si>
  <si>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</si>
  <si>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</si>
  <si>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</si>
  <si>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</si>
  <si>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</si>
  <si>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</si>
  <si>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</si>
  <si>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</si>
  <si>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</si>
  <si>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</si>
  <si>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</si>
  <si>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</si>
  <si>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</si>
  <si>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</si>
  <si>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</si>
  <si>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</si>
  <si>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</si>
  <si>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</si>
  <si>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</si>
  <si>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</si>
  <si>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</si>
  <si>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</si>
  <si>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</si>
  <si>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</si>
  <si>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</si>
  <si>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</si>
  <si>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</si>
  <si>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</si>
  <si>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</si>
  <si>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</si>
  <si>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</si>
  <si>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</si>
  <si>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</si>
  <si>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</si>
  <si>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</si>
  <si>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</si>
  <si>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</si>
  <si>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</si>
  <si>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</si>
  <si>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</si>
  <si>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</si>
  <si>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</si>
  <si>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</si>
  <si>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</si>
  <si>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</si>
  <si>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</si>
  <si>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</si>
  <si>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</si>
  <si>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</si>
  <si>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</si>
  <si>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</si>
  <si>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</si>
  <si>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</si>
  <si>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</si>
  <si>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</si>
  <si>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</si>
  <si>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</si>
  <si>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</si>
  <si>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</si>
  <si>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</si>
  <si>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</si>
  <si>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</si>
  <si>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</si>
  <si>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</si>
  <si>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</si>
  <si>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</si>
  <si>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</si>
  <si>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</si>
  <si>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</si>
  <si>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</si>
  <si>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</si>
  <si>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</si>
  <si>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</si>
  <si>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</si>
  <si>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</si>
  <si>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</si>
  <si>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</si>
  <si>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</si>
  <si>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</si>
  <si>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</si>
  <si>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</si>
  <si>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</si>
  <si>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</si>
  <si>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</si>
  <si>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</si>
  <si>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</si>
  <si>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</si>
  <si>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</si>
  <si>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</si>
  <si>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</si>
  <si>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</si>
  <si>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</si>
  <si>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</si>
  <si>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</si>
  <si>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</si>
  <si>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</si>
  <si>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</si>
  <si>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</si>
  <si>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</si>
  <si>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</si>
  <si>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</si>
  <si>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</si>
  <si>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</si>
  <si>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</si>
  <si>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</si>
  <si>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</si>
  <si>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</si>
  <si>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</si>
  <si>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</si>
  <si>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</si>
  <si>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</si>
  <si>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</si>
  <si>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</si>
  <si>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</si>
  <si>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</si>
  <si>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</si>
  <si>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</si>
  <si>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</si>
  <si>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</si>
  <si>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</si>
  <si>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</si>
  <si>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</si>
  <si>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</si>
  <si>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</si>
  <si>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</si>
  <si>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</si>
  <si>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</si>
  <si>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</si>
  <si>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</si>
  <si>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</si>
  <si>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</si>
  <si>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</si>
  <si>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</si>
  <si>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</si>
  <si>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</si>
  <si>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</si>
  <si>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</si>
  <si>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</si>
  <si>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</si>
  <si>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</si>
  <si>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</si>
  <si>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</si>
  <si>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</si>
  <si>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</si>
  <si>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</si>
  <si>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</si>
  <si>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</si>
  <si>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</si>
  <si>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</si>
  <si>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</si>
  <si>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</si>
  <si>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</si>
  <si>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</si>
  <si>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</si>
  <si>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</si>
  <si>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</si>
  <si>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</si>
  <si>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</si>
  <si>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</si>
  <si>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</si>
  <si>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</si>
  <si>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</si>
  <si>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</si>
  <si>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</si>
  <si>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</si>
  <si>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</si>
  <si>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</si>
  <si>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</si>
  <si>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</si>
  <si>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</si>
  <si>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</si>
  <si>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</si>
  <si>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</si>
  <si>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</si>
  <si>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</si>
  <si>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</si>
  <si>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</si>
  <si>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</si>
  <si>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</si>
  <si>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</si>
  <si>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</si>
  <si>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</si>
  <si>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</si>
  <si>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</si>
  <si>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</si>
  <si>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</si>
  <si>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08/95</t>
  </si>
  <si>
    <t>08/15</t>
  </si>
  <si>
    <t>08/13</t>
  </si>
  <si>
    <t>08/33</t>
  </si>
  <si>
    <t>Other Additions Revenues: NH Public Health Trust Settlement.   542,754.</t>
  </si>
  <si>
    <t xml:space="preserve">                    </t>
  </si>
  <si>
    <t>Total Fund Equity, July 1, 2013, as previously reported:</t>
  </si>
  <si>
    <t xml:space="preserve">                                           Fund 10                   Fund 21                Fund 22                Fund 30                       Fund 70</t>
  </si>
  <si>
    <t xml:space="preserve">                                            General              Food Service         All Other            Capital Projects                 Trust</t>
  </si>
  <si>
    <t>As previous:                       1,560,049.             135,712.            (292,545.)                      0                                 0</t>
  </si>
  <si>
    <t xml:space="preserve">Add: Auditors Adj. - Various </t>
  </si>
  <si>
    <t xml:space="preserve">                                             (651,916)             (106,075)            292,545.              (279,726)                     165,374.</t>
  </si>
  <si>
    <t>As restated, 07/01/13:          908133.                  29,637.                  0                     (279,726.)                     165,374.</t>
  </si>
  <si>
    <t>(Agrees to General Ledger &amp; Financial Statements)</t>
  </si>
  <si>
    <t>Claremont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</si>
</sst>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20" zoomScaleNormal="120" workbookViewId="0">
      <pane xSplit="5" ySplit="3" topLeftCell="F64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925</v>
      </c>
      <c r="B2" s="21">
        <v>101</v>
      </c>
      <c r="C2" s="21">
        <v>101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1697369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>
        <v>7618186</v>
      </c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969724</v>
      </c>
      <c r="G12" s="18"/>
      <c r="H12" s="18"/>
      <c r="I12" s="18"/>
      <c r="J12" s="67">
        <f>SUM(I441)</f>
        <v>297680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157334</v>
      </c>
      <c r="G13" s="18">
        <v>97519</v>
      </c>
      <c r="H13" s="18">
        <v>463833</v>
      </c>
      <c r="I13" s="18"/>
      <c r="J13" s="67">
        <f>SUM(I442)</f>
        <v>1243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19257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11083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11658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2855342</v>
      </c>
      <c r="G19" s="41">
        <f>SUM(G9:G18)</f>
        <v>108602</v>
      </c>
      <c r="H19" s="41">
        <f>SUM(H9:H18)</f>
        <v>463833</v>
      </c>
      <c r="I19" s="41">
        <f>SUM(I9:I18)</f>
        <v>7618186</v>
      </c>
      <c r="J19" s="41">
        <f>SUM(J9:J18)</f>
        <v>298923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32473</v>
      </c>
      <c r="H22" s="18">
        <v>399870</v>
      </c>
      <c r="I22" s="18">
        <v>835061</v>
      </c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80732</v>
      </c>
      <c r="G23" s="18"/>
      <c r="H23" s="18">
        <v>7487</v>
      </c>
      <c r="I23" s="18"/>
      <c r="J23" s="67">
        <f>SUM(I449)</f>
        <v>339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492840</v>
      </c>
      <c r="G24" s="18">
        <v>62736</v>
      </c>
      <c r="H24" s="18">
        <v>25758</v>
      </c>
      <c r="I24" s="18">
        <v>1336074</v>
      </c>
      <c r="J24" s="67">
        <f>SUM(I450)</f>
        <v>2670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>
        <v>961</v>
      </c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448860</v>
      </c>
      <c r="G29" s="18">
        <v>1652</v>
      </c>
      <c r="H29" s="18">
        <v>21601</v>
      </c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5961</v>
      </c>
      <c r="H30" s="18">
        <v>9117</v>
      </c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1905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1022432</v>
      </c>
      <c r="G32" s="41">
        <f>SUM(G22:G31)</f>
        <v>102822</v>
      </c>
      <c r="H32" s="41">
        <f>SUM(H22:H31)</f>
        <v>463833</v>
      </c>
      <c r="I32" s="41">
        <f>SUM(I22:I31)</f>
        <v>2172096</v>
      </c>
      <c r="J32" s="41">
        <f>SUM(J22:J31)</f>
        <v>4914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11083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11658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362777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190015</v>
      </c>
      <c r="G48" s="18">
        <v>-5303</v>
      </c>
      <c r="H48" s="18"/>
      <c r="I48" s="18">
        <v>5446090</v>
      </c>
      <c r="J48" s="13">
        <f>SUM(I459)</f>
        <v>294009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1268460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1832910</v>
      </c>
      <c r="G51" s="41">
        <f>SUM(G35:G50)</f>
        <v>5780</v>
      </c>
      <c r="H51" s="41">
        <f>SUM(H35:H50)</f>
        <v>0</v>
      </c>
      <c r="I51" s="41">
        <f>SUM(I35:I50)</f>
        <v>5446090</v>
      </c>
      <c r="J51" s="41">
        <f>SUM(J35:J50)</f>
        <v>294009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2855342</v>
      </c>
      <c r="G52" s="41">
        <f>G51+G32</f>
        <v>108602</v>
      </c>
      <c r="H52" s="41">
        <f>H51+H32</f>
        <v>463833</v>
      </c>
      <c r="I52" s="41">
        <f>I51+I32</f>
        <v>7618186</v>
      </c>
      <c r="J52" s="41">
        <f>J51+J32</f>
        <v>298923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13575783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13575783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1906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17766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475733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7465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10373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31814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169693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714750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5123</v>
      </c>
      <c r="G96" s="18"/>
      <c r="H96" s="18"/>
      <c r="I96" s="18">
        <v>17242</v>
      </c>
      <c r="J96" s="18"/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159202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32552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5000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542754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136149</v>
      </c>
      <c r="G110" s="18"/>
      <c r="H110" s="18"/>
      <c r="I110" s="18"/>
      <c r="J110" s="18">
        <v>267785</v>
      </c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721578</v>
      </c>
      <c r="G111" s="41">
        <f>SUM(G96:G110)</f>
        <v>159202</v>
      </c>
      <c r="H111" s="41">
        <f>SUM(H96:H110)</f>
        <v>0</v>
      </c>
      <c r="I111" s="41">
        <f>SUM(I96:I110)</f>
        <v>17242</v>
      </c>
      <c r="J111" s="41">
        <f>SUM(J96:J110)</f>
        <v>267785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15012111</v>
      </c>
      <c r="G112" s="41">
        <f>G60+G111</f>
        <v>159202</v>
      </c>
      <c r="H112" s="41">
        <f>H60+H79+H94+H111</f>
        <v>0</v>
      </c>
      <c r="I112" s="41">
        <f>I60+I111</f>
        <v>17242</v>
      </c>
      <c r="J112" s="41">
        <f>J60+J111</f>
        <v>267785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12545834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1972781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14518615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99000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509545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4848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5642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10202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619035</v>
      </c>
      <c r="G136" s="41">
        <f>SUM(G123:G135)</f>
        <v>10202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15137650</v>
      </c>
      <c r="G140" s="41">
        <f>G121+SUM(G136:G137)</f>
        <v>10202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79780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79780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621155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164577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54031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94234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439236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480444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334944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125551</v>
      </c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334944</v>
      </c>
      <c r="G162" s="41">
        <f>SUM(G150:G161)</f>
        <v>439236</v>
      </c>
      <c r="H162" s="41">
        <f>SUM(H150:H161)</f>
        <v>1539992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414724</v>
      </c>
      <c r="G169" s="41">
        <f>G147+G162+SUM(G163:G168)</f>
        <v>439236</v>
      </c>
      <c r="H169" s="41">
        <f>H147+H162+SUM(H163:H168)</f>
        <v>1539992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11195000</v>
      </c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>
        <v>1380949</v>
      </c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12575949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57063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57063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57063</v>
      </c>
      <c r="G192" s="41">
        <f>G183+SUM(G188:G191)</f>
        <v>0</v>
      </c>
      <c r="H192" s="41">
        <f>+H183+SUM(H188:H191)</f>
        <v>0</v>
      </c>
      <c r="I192" s="41">
        <f>I177+I183+SUM(I188:I191)</f>
        <v>12575949</v>
      </c>
      <c r="J192" s="41">
        <f>J183</f>
        <v>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30621548</v>
      </c>
      <c r="G193" s="47">
        <f>G112+G140+G169+G192</f>
        <v>608640</v>
      </c>
      <c r="H193" s="47">
        <f>H112+H140+H169+H192</f>
        <v>1539992</v>
      </c>
      <c r="I193" s="47">
        <f>I112+I140+I169+I192</f>
        <v>12593191</v>
      </c>
      <c r="J193" s="47">
        <f>J112+J140+J192</f>
        <v>267785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2661025</v>
      </c>
      <c r="G197" s="18">
        <v>1703539</v>
      </c>
      <c r="H197" s="18">
        <v>75529</v>
      </c>
      <c r="I197" s="18">
        <v>121426</v>
      </c>
      <c r="J197" s="18">
        <v>105998</v>
      </c>
      <c r="K197" s="18"/>
      <c r="L197" s="19">
        <f>SUM(F197:K197)</f>
        <v>4667517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1733986</v>
      </c>
      <c r="G198" s="18">
        <v>696678</v>
      </c>
      <c r="H198" s="18">
        <v>730617</v>
      </c>
      <c r="I198" s="18">
        <v>15809</v>
      </c>
      <c r="J198" s="18">
        <v>1439</v>
      </c>
      <c r="K198" s="18"/>
      <c r="L198" s="19">
        <f>SUM(F198:K198)</f>
        <v>3178529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429123</v>
      </c>
      <c r="G202" s="18">
        <v>243880</v>
      </c>
      <c r="H202" s="18">
        <v>3997</v>
      </c>
      <c r="I202" s="18">
        <v>3087</v>
      </c>
      <c r="J202" s="18"/>
      <c r="K202" s="18">
        <v>51</v>
      </c>
      <c r="L202" s="19">
        <f t="shared" ref="L202:L208" si="0">SUM(F202:K202)</f>
        <v>680138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174442</v>
      </c>
      <c r="G203" s="18">
        <v>82168</v>
      </c>
      <c r="H203" s="18">
        <v>54404</v>
      </c>
      <c r="I203" s="18">
        <v>34385</v>
      </c>
      <c r="J203" s="18">
        <v>90882</v>
      </c>
      <c r="K203" s="18">
        <v>2005</v>
      </c>
      <c r="L203" s="19">
        <f t="shared" si="0"/>
        <v>438286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3816</v>
      </c>
      <c r="G204" s="18">
        <v>358</v>
      </c>
      <c r="H204" s="18">
        <v>633346</v>
      </c>
      <c r="I204" s="18">
        <v>3774</v>
      </c>
      <c r="J204" s="18"/>
      <c r="K204" s="18">
        <v>462</v>
      </c>
      <c r="L204" s="19">
        <f t="shared" si="0"/>
        <v>641756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434371</v>
      </c>
      <c r="G205" s="18">
        <v>272940</v>
      </c>
      <c r="H205" s="18">
        <v>8430</v>
      </c>
      <c r="I205" s="18">
        <v>1321</v>
      </c>
      <c r="J205" s="18">
        <v>567</v>
      </c>
      <c r="K205" s="18">
        <v>2293</v>
      </c>
      <c r="L205" s="19">
        <f t="shared" si="0"/>
        <v>719922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>
        <v>3705</v>
      </c>
      <c r="H206" s="18"/>
      <c r="I206" s="18"/>
      <c r="J206" s="18"/>
      <c r="K206" s="18"/>
      <c r="L206" s="19">
        <f t="shared" si="0"/>
        <v>3705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286629</v>
      </c>
      <c r="G207" s="18">
        <v>133662</v>
      </c>
      <c r="H207" s="18">
        <v>319552</v>
      </c>
      <c r="I207" s="18">
        <v>265427</v>
      </c>
      <c r="J207" s="18">
        <v>10423</v>
      </c>
      <c r="K207" s="18"/>
      <c r="L207" s="19">
        <f t="shared" si="0"/>
        <v>1015693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185906</v>
      </c>
      <c r="G208" s="18">
        <v>74887</v>
      </c>
      <c r="H208" s="18">
        <v>97772</v>
      </c>
      <c r="I208" s="18">
        <v>35664</v>
      </c>
      <c r="J208" s="18">
        <v>26398</v>
      </c>
      <c r="K208" s="18"/>
      <c r="L208" s="19">
        <f t="shared" si="0"/>
        <v>420627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5909298</v>
      </c>
      <c r="G211" s="41">
        <f t="shared" si="1"/>
        <v>3211817</v>
      </c>
      <c r="H211" s="41">
        <f t="shared" si="1"/>
        <v>1923647</v>
      </c>
      <c r="I211" s="41">
        <f t="shared" si="1"/>
        <v>480893</v>
      </c>
      <c r="J211" s="41">
        <f t="shared" si="1"/>
        <v>235707</v>
      </c>
      <c r="K211" s="41">
        <f t="shared" si="1"/>
        <v>4811</v>
      </c>
      <c r="L211" s="41">
        <f t="shared" si="1"/>
        <v>11766173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1194641</v>
      </c>
      <c r="G215" s="18">
        <v>791873</v>
      </c>
      <c r="H215" s="18">
        <v>39107</v>
      </c>
      <c r="I215" s="18">
        <v>89575</v>
      </c>
      <c r="J215" s="18">
        <v>58871</v>
      </c>
      <c r="K215" s="18">
        <v>4154</v>
      </c>
      <c r="L215" s="19">
        <f>SUM(F215:K215)</f>
        <v>2178221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667140</v>
      </c>
      <c r="G216" s="18">
        <v>328824</v>
      </c>
      <c r="H216" s="18">
        <v>735835</v>
      </c>
      <c r="I216" s="18">
        <v>6842</v>
      </c>
      <c r="J216" s="18">
        <v>1108</v>
      </c>
      <c r="K216" s="18"/>
      <c r="L216" s="19">
        <f>SUM(F216:K216)</f>
        <v>1739749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127611</v>
      </c>
      <c r="G217" s="18">
        <v>69854</v>
      </c>
      <c r="H217" s="18"/>
      <c r="I217" s="18">
        <v>11303</v>
      </c>
      <c r="J217" s="18"/>
      <c r="K217" s="18"/>
      <c r="L217" s="19">
        <f>SUM(F217:K217)</f>
        <v>208768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52477</v>
      </c>
      <c r="G218" s="18">
        <v>8346</v>
      </c>
      <c r="H218" s="18">
        <v>5815</v>
      </c>
      <c r="I218" s="18">
        <v>3501</v>
      </c>
      <c r="J218" s="18"/>
      <c r="K218" s="18"/>
      <c r="L218" s="19">
        <f>SUM(F218:K218)</f>
        <v>70139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247562</v>
      </c>
      <c r="G220" s="18">
        <v>151979</v>
      </c>
      <c r="H220" s="18">
        <v>2041</v>
      </c>
      <c r="I220" s="18">
        <v>2443</v>
      </c>
      <c r="J220" s="18"/>
      <c r="K220" s="18">
        <v>26</v>
      </c>
      <c r="L220" s="19">
        <f t="shared" ref="L220:L226" si="2">SUM(F220:K220)</f>
        <v>404051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89891</v>
      </c>
      <c r="G221" s="18">
        <v>51974</v>
      </c>
      <c r="H221" s="18">
        <v>27781</v>
      </c>
      <c r="I221" s="18">
        <v>16498</v>
      </c>
      <c r="J221" s="18">
        <v>45353</v>
      </c>
      <c r="K221" s="18"/>
      <c r="L221" s="19">
        <f t="shared" si="2"/>
        <v>231497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1949</v>
      </c>
      <c r="G222" s="18">
        <v>183</v>
      </c>
      <c r="H222" s="18">
        <v>323414</v>
      </c>
      <c r="I222" s="18">
        <v>1927</v>
      </c>
      <c r="J222" s="18"/>
      <c r="K222" s="18">
        <v>236</v>
      </c>
      <c r="L222" s="19">
        <f t="shared" si="2"/>
        <v>327709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242502</v>
      </c>
      <c r="G223" s="18">
        <v>126267</v>
      </c>
      <c r="H223" s="18">
        <v>10338</v>
      </c>
      <c r="I223" s="18">
        <v>895</v>
      </c>
      <c r="J223" s="18"/>
      <c r="K223" s="18">
        <v>628</v>
      </c>
      <c r="L223" s="19">
        <f t="shared" si="2"/>
        <v>380630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>
        <v>1892</v>
      </c>
      <c r="H224" s="18"/>
      <c r="I224" s="18"/>
      <c r="J224" s="18"/>
      <c r="K224" s="18"/>
      <c r="L224" s="19">
        <f t="shared" si="2"/>
        <v>1892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179878</v>
      </c>
      <c r="G225" s="18">
        <v>92067</v>
      </c>
      <c r="H225" s="18">
        <v>233649</v>
      </c>
      <c r="I225" s="18">
        <v>146742</v>
      </c>
      <c r="J225" s="18">
        <v>4847</v>
      </c>
      <c r="K225" s="18"/>
      <c r="L225" s="19">
        <f t="shared" si="2"/>
        <v>657183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98344</v>
      </c>
      <c r="G226" s="18">
        <v>38599</v>
      </c>
      <c r="H226" s="18">
        <v>59770</v>
      </c>
      <c r="I226" s="18">
        <v>18212</v>
      </c>
      <c r="J226" s="18">
        <v>13480</v>
      </c>
      <c r="K226" s="18"/>
      <c r="L226" s="19">
        <f t="shared" si="2"/>
        <v>228405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2901995</v>
      </c>
      <c r="G229" s="41">
        <f>SUM(G215:G228)</f>
        <v>1661858</v>
      </c>
      <c r="H229" s="41">
        <f>SUM(H215:H228)</f>
        <v>1437750</v>
      </c>
      <c r="I229" s="41">
        <f>SUM(I215:I228)</f>
        <v>297938</v>
      </c>
      <c r="J229" s="41">
        <f>SUM(J215:J228)</f>
        <v>123659</v>
      </c>
      <c r="K229" s="41">
        <f t="shared" si="3"/>
        <v>5044</v>
      </c>
      <c r="L229" s="41">
        <f t="shared" si="3"/>
        <v>6428244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1977893</v>
      </c>
      <c r="G233" s="18">
        <v>1315339</v>
      </c>
      <c r="H233" s="18">
        <v>106156</v>
      </c>
      <c r="I233" s="18">
        <v>100518</v>
      </c>
      <c r="J233" s="18">
        <v>73402</v>
      </c>
      <c r="K233" s="18">
        <v>22289</v>
      </c>
      <c r="L233" s="19">
        <f>SUM(F233:K233)</f>
        <v>3595597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577898</v>
      </c>
      <c r="G234" s="18">
        <v>308254</v>
      </c>
      <c r="H234" s="18">
        <v>1428764</v>
      </c>
      <c r="I234" s="18">
        <v>8267</v>
      </c>
      <c r="J234" s="18">
        <v>473</v>
      </c>
      <c r="K234" s="18"/>
      <c r="L234" s="19">
        <f>SUM(F234:K234)</f>
        <v>2323656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661481</v>
      </c>
      <c r="G235" s="18">
        <v>410592</v>
      </c>
      <c r="H235" s="18">
        <v>36659</v>
      </c>
      <c r="I235" s="18">
        <v>45854</v>
      </c>
      <c r="J235" s="18">
        <v>4163</v>
      </c>
      <c r="K235" s="18"/>
      <c r="L235" s="19">
        <f>SUM(F235:K235)</f>
        <v>1158749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194768</v>
      </c>
      <c r="G236" s="18">
        <v>57086</v>
      </c>
      <c r="H236" s="18">
        <v>42541</v>
      </c>
      <c r="I236" s="18">
        <v>14211</v>
      </c>
      <c r="J236" s="18">
        <v>9303</v>
      </c>
      <c r="K236" s="18">
        <v>10120</v>
      </c>
      <c r="L236" s="19">
        <f>SUM(F236:K236)</f>
        <v>328029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394235</v>
      </c>
      <c r="G238" s="18">
        <v>190886</v>
      </c>
      <c r="H238" s="18">
        <v>2683</v>
      </c>
      <c r="I238" s="18">
        <v>2106</v>
      </c>
      <c r="J238" s="18">
        <v>2442</v>
      </c>
      <c r="K238" s="18">
        <v>1305</v>
      </c>
      <c r="L238" s="19">
        <f t="shared" ref="L238:L244" si="4">SUM(F238:K238)</f>
        <v>593657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95360</v>
      </c>
      <c r="G239" s="18">
        <v>34432</v>
      </c>
      <c r="H239" s="18">
        <v>36139</v>
      </c>
      <c r="I239" s="18">
        <v>20736</v>
      </c>
      <c r="J239" s="18">
        <v>84627</v>
      </c>
      <c r="K239" s="18"/>
      <c r="L239" s="19">
        <f t="shared" si="4"/>
        <v>271294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2535</v>
      </c>
      <c r="G240" s="18">
        <v>238</v>
      </c>
      <c r="H240" s="18">
        <v>420710</v>
      </c>
      <c r="I240" s="18">
        <v>2507</v>
      </c>
      <c r="J240" s="18"/>
      <c r="K240" s="18">
        <v>307</v>
      </c>
      <c r="L240" s="19">
        <f t="shared" si="4"/>
        <v>426297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478163</v>
      </c>
      <c r="G241" s="18">
        <v>250932</v>
      </c>
      <c r="H241" s="18">
        <v>13008</v>
      </c>
      <c r="I241" s="18">
        <v>9274</v>
      </c>
      <c r="J241" s="18"/>
      <c r="K241" s="18">
        <v>3535</v>
      </c>
      <c r="L241" s="19">
        <f t="shared" si="4"/>
        <v>754912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>
        <v>2461</v>
      </c>
      <c r="H242" s="18"/>
      <c r="I242" s="18"/>
      <c r="J242" s="18"/>
      <c r="K242" s="18"/>
      <c r="L242" s="19">
        <f t="shared" si="4"/>
        <v>2461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312590</v>
      </c>
      <c r="G243" s="18">
        <v>122616</v>
      </c>
      <c r="H243" s="18">
        <v>225616</v>
      </c>
      <c r="I243" s="18">
        <v>275785</v>
      </c>
      <c r="J243" s="18">
        <v>3147</v>
      </c>
      <c r="K243" s="18"/>
      <c r="L243" s="19">
        <f t="shared" si="4"/>
        <v>939754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135518</v>
      </c>
      <c r="G244" s="18">
        <v>51187</v>
      </c>
      <c r="H244" s="18">
        <v>101126</v>
      </c>
      <c r="I244" s="18">
        <v>23690</v>
      </c>
      <c r="J244" s="18">
        <v>17536</v>
      </c>
      <c r="K244" s="18"/>
      <c r="L244" s="19">
        <f t="shared" si="4"/>
        <v>329057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4830441</v>
      </c>
      <c r="G247" s="41">
        <f t="shared" si="5"/>
        <v>2744023</v>
      </c>
      <c r="H247" s="41">
        <f t="shared" si="5"/>
        <v>2413402</v>
      </c>
      <c r="I247" s="41">
        <f t="shared" si="5"/>
        <v>502948</v>
      </c>
      <c r="J247" s="41">
        <f t="shared" si="5"/>
        <v>195093</v>
      </c>
      <c r="K247" s="41">
        <f t="shared" si="5"/>
        <v>37556</v>
      </c>
      <c r="L247" s="41">
        <f t="shared" si="5"/>
        <v>10723463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53968</v>
      </c>
      <c r="G251" s="18">
        <v>17757</v>
      </c>
      <c r="H251" s="18">
        <v>901</v>
      </c>
      <c r="I251" s="18">
        <v>152</v>
      </c>
      <c r="J251" s="18"/>
      <c r="K251" s="18">
        <v>10</v>
      </c>
      <c r="L251" s="19">
        <f t="shared" si="6"/>
        <v>72788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53968</v>
      </c>
      <c r="G256" s="41">
        <f t="shared" si="7"/>
        <v>17757</v>
      </c>
      <c r="H256" s="41">
        <f t="shared" si="7"/>
        <v>901</v>
      </c>
      <c r="I256" s="41">
        <f t="shared" si="7"/>
        <v>152</v>
      </c>
      <c r="J256" s="41">
        <f t="shared" si="7"/>
        <v>0</v>
      </c>
      <c r="K256" s="41">
        <f t="shared" si="7"/>
        <v>10</v>
      </c>
      <c r="L256" s="41">
        <f>SUM(F256:K256)</f>
        <v>72788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13695702</v>
      </c>
      <c r="G257" s="41">
        <f t="shared" si="8"/>
        <v>7635455</v>
      </c>
      <c r="H257" s="41">
        <f t="shared" si="8"/>
        <v>5775700</v>
      </c>
      <c r="I257" s="41">
        <f t="shared" si="8"/>
        <v>1281931</v>
      </c>
      <c r="J257" s="41">
        <f t="shared" si="8"/>
        <v>554459</v>
      </c>
      <c r="K257" s="41">
        <f t="shared" si="8"/>
        <v>47421</v>
      </c>
      <c r="L257" s="41">
        <f t="shared" si="8"/>
        <v>28990668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330000</v>
      </c>
      <c r="L260" s="19">
        <f>SUM(F260:K260)</f>
        <v>330000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376103</v>
      </c>
      <c r="L261" s="19">
        <f>SUM(F261:K261)</f>
        <v>376103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706103</v>
      </c>
      <c r="L270" s="41">
        <f t="shared" si="9"/>
        <v>706103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13695702</v>
      </c>
      <c r="G271" s="42">
        <f t="shared" si="11"/>
        <v>7635455</v>
      </c>
      <c r="H271" s="42">
        <f t="shared" si="11"/>
        <v>5775700</v>
      </c>
      <c r="I271" s="42">
        <f t="shared" si="11"/>
        <v>1281931</v>
      </c>
      <c r="J271" s="42">
        <f t="shared" si="11"/>
        <v>554459</v>
      </c>
      <c r="K271" s="42">
        <f t="shared" si="11"/>
        <v>753524</v>
      </c>
      <c r="L271" s="42">
        <f t="shared" si="11"/>
        <v>29696771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332942</v>
      </c>
      <c r="G277" s="18">
        <v>136554</v>
      </c>
      <c r="H277" s="18">
        <v>2297</v>
      </c>
      <c r="I277" s="18">
        <v>18445</v>
      </c>
      <c r="J277" s="18">
        <v>197</v>
      </c>
      <c r="K277" s="18"/>
      <c r="L277" s="19">
        <f>SUM(F277:K277)</f>
        <v>490435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20631</v>
      </c>
      <c r="G279" s="18">
        <v>7997</v>
      </c>
      <c r="H279" s="18">
        <v>2194</v>
      </c>
      <c r="I279" s="18">
        <v>92</v>
      </c>
      <c r="J279" s="18">
        <v>498</v>
      </c>
      <c r="K279" s="18"/>
      <c r="L279" s="19">
        <f>SUM(F279:K279)</f>
        <v>31412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65278</v>
      </c>
      <c r="G281" s="18">
        <v>11510</v>
      </c>
      <c r="H281" s="18">
        <v>58769</v>
      </c>
      <c r="I281" s="18">
        <v>7225</v>
      </c>
      <c r="J281" s="18"/>
      <c r="K281" s="18"/>
      <c r="L281" s="19">
        <f t="shared" ref="L281:L287" si="12">SUM(F281:K281)</f>
        <v>142782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326</v>
      </c>
      <c r="I282" s="18"/>
      <c r="J282" s="18">
        <v>642</v>
      </c>
      <c r="K282" s="18"/>
      <c r="L282" s="19">
        <f t="shared" si="12"/>
        <v>968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19071</v>
      </c>
      <c r="L285" s="19">
        <f t="shared" si="12"/>
        <v>19071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418851</v>
      </c>
      <c r="G290" s="42">
        <f t="shared" si="13"/>
        <v>156061</v>
      </c>
      <c r="H290" s="42">
        <f t="shared" si="13"/>
        <v>63586</v>
      </c>
      <c r="I290" s="42">
        <f t="shared" si="13"/>
        <v>25762</v>
      </c>
      <c r="J290" s="42">
        <f t="shared" si="13"/>
        <v>1337</v>
      </c>
      <c r="K290" s="42">
        <f t="shared" si="13"/>
        <v>19071</v>
      </c>
      <c r="L290" s="41">
        <f t="shared" si="13"/>
        <v>684668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130456</v>
      </c>
      <c r="G296" s="18">
        <v>50199</v>
      </c>
      <c r="H296" s="18">
        <v>10373</v>
      </c>
      <c r="I296" s="18">
        <v>1794</v>
      </c>
      <c r="J296" s="18">
        <v>1570</v>
      </c>
      <c r="K296" s="18"/>
      <c r="L296" s="19">
        <f>SUM(F296:K296)</f>
        <v>194392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10535</v>
      </c>
      <c r="G298" s="18">
        <v>4083</v>
      </c>
      <c r="H298" s="18">
        <v>1120</v>
      </c>
      <c r="I298" s="18">
        <v>47</v>
      </c>
      <c r="J298" s="18">
        <v>255</v>
      </c>
      <c r="K298" s="18"/>
      <c r="L298" s="19">
        <f>SUM(F298:K298)</f>
        <v>16040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65177</v>
      </c>
      <c r="G300" s="18">
        <v>7888</v>
      </c>
      <c r="H300" s="18">
        <v>20695</v>
      </c>
      <c r="I300" s="18">
        <v>5802</v>
      </c>
      <c r="J300" s="18"/>
      <c r="K300" s="18"/>
      <c r="L300" s="19">
        <f t="shared" ref="L300:L306" si="14">SUM(F300:K300)</f>
        <v>99562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>
        <v>166</v>
      </c>
      <c r="I301" s="18">
        <v>2472</v>
      </c>
      <c r="J301" s="18">
        <v>850</v>
      </c>
      <c r="K301" s="18"/>
      <c r="L301" s="19">
        <f t="shared" si="14"/>
        <v>3488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>
        <v>2068</v>
      </c>
      <c r="L304" s="19">
        <f t="shared" si="14"/>
        <v>2068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206168</v>
      </c>
      <c r="G309" s="42">
        <f t="shared" si="15"/>
        <v>62170</v>
      </c>
      <c r="H309" s="42">
        <f t="shared" si="15"/>
        <v>32354</v>
      </c>
      <c r="I309" s="42">
        <f t="shared" si="15"/>
        <v>10115</v>
      </c>
      <c r="J309" s="42">
        <f t="shared" si="15"/>
        <v>2675</v>
      </c>
      <c r="K309" s="42">
        <f t="shared" si="15"/>
        <v>2068</v>
      </c>
      <c r="L309" s="41">
        <f t="shared" si="15"/>
        <v>315550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179703</v>
      </c>
      <c r="G315" s="18">
        <v>65301</v>
      </c>
      <c r="H315" s="18">
        <v>45556</v>
      </c>
      <c r="I315" s="18">
        <v>2333</v>
      </c>
      <c r="J315" s="18">
        <v>2042</v>
      </c>
      <c r="K315" s="18"/>
      <c r="L315" s="19">
        <f>SUM(F315:K315)</f>
        <v>294935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5800</v>
      </c>
      <c r="G316" s="18">
        <v>1233</v>
      </c>
      <c r="H316" s="18">
        <v>10589</v>
      </c>
      <c r="I316" s="18">
        <v>9011</v>
      </c>
      <c r="J316" s="18">
        <v>16264</v>
      </c>
      <c r="K316" s="18"/>
      <c r="L316" s="19">
        <f>SUM(F316:K316)</f>
        <v>42897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13704</v>
      </c>
      <c r="G317" s="18">
        <v>5312</v>
      </c>
      <c r="H317" s="18">
        <v>1457</v>
      </c>
      <c r="I317" s="18">
        <v>61</v>
      </c>
      <c r="J317" s="18">
        <v>331</v>
      </c>
      <c r="K317" s="18"/>
      <c r="L317" s="19">
        <f>SUM(F317:K317)</f>
        <v>20865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52694</v>
      </c>
      <c r="G319" s="18">
        <v>8192</v>
      </c>
      <c r="H319" s="18">
        <v>31295</v>
      </c>
      <c r="I319" s="18">
        <v>4988</v>
      </c>
      <c r="J319" s="18"/>
      <c r="K319" s="18"/>
      <c r="L319" s="19">
        <f t="shared" ref="L319:L325" si="16">SUM(F319:K319)</f>
        <v>97169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>
        <v>217</v>
      </c>
      <c r="I320" s="18"/>
      <c r="J320" s="18">
        <v>1826</v>
      </c>
      <c r="K320" s="18"/>
      <c r="L320" s="19">
        <f t="shared" si="16"/>
        <v>2043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16000</v>
      </c>
      <c r="G321" s="18">
        <v>5407</v>
      </c>
      <c r="H321" s="18">
        <v>1993</v>
      </c>
      <c r="I321" s="18">
        <v>350</v>
      </c>
      <c r="J321" s="18">
        <v>345</v>
      </c>
      <c r="K321" s="18">
        <v>9279</v>
      </c>
      <c r="L321" s="19">
        <f t="shared" si="16"/>
        <v>33374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>
        <v>1330</v>
      </c>
      <c r="I322" s="18">
        <v>709</v>
      </c>
      <c r="J322" s="18"/>
      <c r="K322" s="18"/>
      <c r="L322" s="19">
        <f t="shared" si="16"/>
        <v>2039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>
        <v>5527</v>
      </c>
      <c r="L323" s="19">
        <f t="shared" si="16"/>
        <v>5527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7257</v>
      </c>
      <c r="I325" s="18"/>
      <c r="J325" s="18"/>
      <c r="K325" s="18"/>
      <c r="L325" s="19">
        <f t="shared" si="16"/>
        <v>7257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267901</v>
      </c>
      <c r="G328" s="42">
        <f t="shared" si="17"/>
        <v>85445</v>
      </c>
      <c r="H328" s="42">
        <f t="shared" si="17"/>
        <v>99694</v>
      </c>
      <c r="I328" s="42">
        <f t="shared" si="17"/>
        <v>17452</v>
      </c>
      <c r="J328" s="42">
        <f t="shared" si="17"/>
        <v>20808</v>
      </c>
      <c r="K328" s="42">
        <f t="shared" si="17"/>
        <v>14806</v>
      </c>
      <c r="L328" s="41">
        <f t="shared" si="17"/>
        <v>506106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25108</v>
      </c>
      <c r="G333" s="18">
        <v>2808</v>
      </c>
      <c r="H333" s="18">
        <v>2472</v>
      </c>
      <c r="I333" s="18">
        <v>3206</v>
      </c>
      <c r="J333" s="18"/>
      <c r="K333" s="18"/>
      <c r="L333" s="19">
        <f t="shared" si="18"/>
        <v>33594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>
        <v>74</v>
      </c>
      <c r="J335" s="18"/>
      <c r="K335" s="18"/>
      <c r="L335" s="19">
        <f t="shared" si="18"/>
        <v>74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25108</v>
      </c>
      <c r="G337" s="41">
        <f t="shared" si="19"/>
        <v>2808</v>
      </c>
      <c r="H337" s="41">
        <f t="shared" si="19"/>
        <v>2472</v>
      </c>
      <c r="I337" s="41">
        <f t="shared" si="19"/>
        <v>3280</v>
      </c>
      <c r="J337" s="41">
        <f t="shared" si="19"/>
        <v>0</v>
      </c>
      <c r="K337" s="41">
        <f t="shared" si="19"/>
        <v>0</v>
      </c>
      <c r="L337" s="41">
        <f t="shared" si="18"/>
        <v>33668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918028</v>
      </c>
      <c r="G338" s="41">
        <f t="shared" si="20"/>
        <v>306484</v>
      </c>
      <c r="H338" s="41">
        <f t="shared" si="20"/>
        <v>198106</v>
      </c>
      <c r="I338" s="41">
        <f t="shared" si="20"/>
        <v>56609</v>
      </c>
      <c r="J338" s="41">
        <f t="shared" si="20"/>
        <v>24820</v>
      </c>
      <c r="K338" s="41">
        <f t="shared" si="20"/>
        <v>35945</v>
      </c>
      <c r="L338" s="41">
        <f t="shared" si="20"/>
        <v>1539992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918028</v>
      </c>
      <c r="G352" s="41">
        <f>G338</f>
        <v>306484</v>
      </c>
      <c r="H352" s="41">
        <f>H338</f>
        <v>198106</v>
      </c>
      <c r="I352" s="41">
        <f>I338</f>
        <v>56609</v>
      </c>
      <c r="J352" s="41">
        <f>J338</f>
        <v>24820</v>
      </c>
      <c r="K352" s="47">
        <f>K338+K351</f>
        <v>35945</v>
      </c>
      <c r="L352" s="41">
        <f>L338+L351</f>
        <v>1539992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90105</v>
      </c>
      <c r="G358" s="18">
        <v>16726</v>
      </c>
      <c r="H358" s="18">
        <v>4485</v>
      </c>
      <c r="I358" s="18">
        <v>182736</v>
      </c>
      <c r="J358" s="18">
        <v>591</v>
      </c>
      <c r="K358" s="18">
        <v>51</v>
      </c>
      <c r="L358" s="13">
        <f>SUM(F358:K358)</f>
        <v>294694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49467</v>
      </c>
      <c r="G359" s="18">
        <v>9468</v>
      </c>
      <c r="H359" s="18">
        <v>2567</v>
      </c>
      <c r="I359" s="18">
        <v>84924</v>
      </c>
      <c r="J359" s="18">
        <v>338</v>
      </c>
      <c r="K359" s="18">
        <v>29</v>
      </c>
      <c r="L359" s="19">
        <f>SUM(F359:K359)</f>
        <v>146793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64368</v>
      </c>
      <c r="G360" s="18">
        <v>12320</v>
      </c>
      <c r="H360" s="18">
        <v>3340</v>
      </c>
      <c r="I360" s="18">
        <v>110504</v>
      </c>
      <c r="J360" s="18">
        <v>440</v>
      </c>
      <c r="K360" s="18">
        <v>38</v>
      </c>
      <c r="L360" s="19">
        <f>SUM(F360:K360)</f>
        <v>191010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203940</v>
      </c>
      <c r="G362" s="47">
        <f t="shared" si="22"/>
        <v>38514</v>
      </c>
      <c r="H362" s="47">
        <f t="shared" si="22"/>
        <v>10392</v>
      </c>
      <c r="I362" s="47">
        <f t="shared" si="22"/>
        <v>378164</v>
      </c>
      <c r="J362" s="47">
        <f t="shared" si="22"/>
        <v>1369</v>
      </c>
      <c r="K362" s="47">
        <f t="shared" si="22"/>
        <v>118</v>
      </c>
      <c r="L362" s="47">
        <f t="shared" si="22"/>
        <v>632497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157841</v>
      </c>
      <c r="G367" s="18">
        <v>73352</v>
      </c>
      <c r="H367" s="18">
        <v>95397</v>
      </c>
      <c r="I367" s="56">
        <f>SUM(F367:H367)</f>
        <v>326590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24895</v>
      </c>
      <c r="G368" s="63">
        <v>11572</v>
      </c>
      <c r="H368" s="63">
        <v>15107</v>
      </c>
      <c r="I368" s="56">
        <f>SUM(F368:H368)</f>
        <v>51574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182736</v>
      </c>
      <c r="G369" s="47">
        <f>SUM(G367:G368)</f>
        <v>84924</v>
      </c>
      <c r="H369" s="47">
        <f>SUM(H367:H368)</f>
        <v>110504</v>
      </c>
      <c r="I369" s="47">
        <f>SUM(I367:I368)</f>
        <v>378164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>
        <v>662989</v>
      </c>
      <c r="I376" s="18"/>
      <c r="J376" s="18"/>
      <c r="K376" s="18"/>
      <c r="L376" s="13">
        <f t="shared" si="23"/>
        <v>662989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v>5971386</v>
      </c>
      <c r="I378" s="18"/>
      <c r="J378" s="18"/>
      <c r="K378" s="18"/>
      <c r="L378" s="13">
        <f t="shared" si="23"/>
        <v>5971386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>
        <v>73143</v>
      </c>
      <c r="K379" s="18"/>
      <c r="L379" s="13">
        <f t="shared" si="23"/>
        <v>73143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>
        <v>24212</v>
      </c>
      <c r="G380" s="18">
        <v>1852</v>
      </c>
      <c r="H380" s="18"/>
      <c r="I380" s="18"/>
      <c r="J380" s="18"/>
      <c r="K380" s="18">
        <v>133793</v>
      </c>
      <c r="L380" s="13">
        <f t="shared" si="23"/>
        <v>159857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24212</v>
      </c>
      <c r="G382" s="139">
        <f t="shared" ref="G382:L382" si="24">SUM(G374:G381)</f>
        <v>1852</v>
      </c>
      <c r="H382" s="139">
        <f t="shared" si="24"/>
        <v>6634375</v>
      </c>
      <c r="I382" s="41">
        <f t="shared" si="24"/>
        <v>0</v>
      </c>
      <c r="J382" s="47">
        <f t="shared" si="24"/>
        <v>73143</v>
      </c>
      <c r="K382" s="47">
        <f t="shared" si="24"/>
        <v>133793</v>
      </c>
      <c r="L382" s="47">
        <f t="shared" si="24"/>
        <v>6867375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>
        <v>267785</v>
      </c>
      <c r="J399" s="24" t="s">
        <v>289</v>
      </c>
      <c r="K399" s="24" t="s">
        <v>289</v>
      </c>
      <c r="L399" s="56">
        <f t="shared" si="26"/>
        <v>267785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267785</v>
      </c>
      <c r="J401" s="45" t="s">
        <v>289</v>
      </c>
      <c r="K401" s="45" t="s">
        <v>289</v>
      </c>
      <c r="L401" s="47">
        <f>SUM(L395:L400)</f>
        <v>267785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267785</v>
      </c>
      <c r="J408" s="24" t="s">
        <v>289</v>
      </c>
      <c r="K408" s="24" t="s">
        <v>289</v>
      </c>
      <c r="L408" s="47">
        <f>L393+L401+L407</f>
        <v>267785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>
        <v>28169</v>
      </c>
      <c r="G425" s="18">
        <v>5422</v>
      </c>
      <c r="H425" s="18">
        <v>93434</v>
      </c>
      <c r="I425" s="18">
        <v>5342</v>
      </c>
      <c r="J425" s="18"/>
      <c r="K425" s="18">
        <v>6783</v>
      </c>
      <c r="L425" s="56">
        <f t="shared" si="29"/>
        <v>139150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28169</v>
      </c>
      <c r="G427" s="47">
        <f t="shared" si="30"/>
        <v>5422</v>
      </c>
      <c r="H427" s="47">
        <f t="shared" si="30"/>
        <v>93434</v>
      </c>
      <c r="I427" s="47">
        <f t="shared" si="30"/>
        <v>5342</v>
      </c>
      <c r="J427" s="47">
        <f t="shared" si="30"/>
        <v>0</v>
      </c>
      <c r="K427" s="47">
        <f t="shared" si="30"/>
        <v>6783</v>
      </c>
      <c r="L427" s="47">
        <f t="shared" si="30"/>
        <v>139150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28169</v>
      </c>
      <c r="G434" s="47">
        <f t="shared" si="32"/>
        <v>5422</v>
      </c>
      <c r="H434" s="47">
        <f t="shared" si="32"/>
        <v>93434</v>
      </c>
      <c r="I434" s="47">
        <f t="shared" si="32"/>
        <v>5342</v>
      </c>
      <c r="J434" s="47">
        <f t="shared" si="32"/>
        <v>0</v>
      </c>
      <c r="K434" s="47">
        <f t="shared" si="32"/>
        <v>6783</v>
      </c>
      <c r="L434" s="47">
        <f t="shared" si="32"/>
        <v>139150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297680</v>
      </c>
      <c r="H441" s="18"/>
      <c r="I441" s="56">
        <f t="shared" si="33"/>
        <v>297680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v>1243</v>
      </c>
      <c r="H442" s="18"/>
      <c r="I442" s="56">
        <f t="shared" si="33"/>
        <v>1243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298923</v>
      </c>
      <c r="H446" s="13">
        <f>SUM(H439:H445)</f>
        <v>0</v>
      </c>
      <c r="I446" s="13">
        <f>SUM(I439:I445)</f>
        <v>298923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>
        <v>339</v>
      </c>
      <c r="H449" s="18"/>
      <c r="I449" s="56">
        <f>SUM(F449:H449)</f>
        <v>339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>
        <v>2670</v>
      </c>
      <c r="H450" s="18"/>
      <c r="I450" s="56">
        <f>SUM(F450:H450)</f>
        <v>2670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>
        <v>1905</v>
      </c>
      <c r="H451" s="18"/>
      <c r="I451" s="56">
        <f>SUM(F451:H451)</f>
        <v>1905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4914</v>
      </c>
      <c r="H452" s="72">
        <f>SUM(H448:H451)</f>
        <v>0</v>
      </c>
      <c r="I452" s="72">
        <f>SUM(I448:I451)</f>
        <v>4914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294009</v>
      </c>
      <c r="H459" s="18"/>
      <c r="I459" s="56">
        <f t="shared" si="34"/>
        <v>294009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294009</v>
      </c>
      <c r="H460" s="83">
        <f>SUM(H454:H459)</f>
        <v>0</v>
      </c>
      <c r="I460" s="83">
        <f>SUM(I454:I459)</f>
        <v>294009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298923</v>
      </c>
      <c r="H461" s="42">
        <f>H452+H460</f>
        <v>0</v>
      </c>
      <c r="I461" s="42">
        <f>I452+I460</f>
        <v>298923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908133</v>
      </c>
      <c r="G465" s="18">
        <v>29637</v>
      </c>
      <c r="H465" s="18">
        <v>0</v>
      </c>
      <c r="I465" s="18">
        <v>-279726</v>
      </c>
      <c r="J465" s="18">
        <v>165374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30078794+542754</f>
        <v>30621548</v>
      </c>
      <c r="G468" s="18">
        <v>608640</v>
      </c>
      <c r="H468" s="18">
        <v>1539992</v>
      </c>
      <c r="I468" s="18">
        <v>12593191</v>
      </c>
      <c r="J468" s="18">
        <v>267785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30621548</v>
      </c>
      <c r="G470" s="53">
        <f>SUM(G468:G469)</f>
        <v>608640</v>
      </c>
      <c r="H470" s="53">
        <f>SUM(H468:H469)</f>
        <v>1539992</v>
      </c>
      <c r="I470" s="53">
        <f>SUM(I468:I469)</f>
        <v>12593191</v>
      </c>
      <c r="J470" s="53">
        <f>SUM(J468:J469)</f>
        <v>267785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29696771</v>
      </c>
      <c r="G472" s="18">
        <v>632497</v>
      </c>
      <c r="H472" s="18">
        <v>1539992</v>
      </c>
      <c r="I472" s="18">
        <v>6867375</v>
      </c>
      <c r="J472" s="18">
        <v>139150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29696771</v>
      </c>
      <c r="G474" s="53">
        <f>SUM(G472:G473)</f>
        <v>632497</v>
      </c>
      <c r="H474" s="53">
        <f>SUM(H472:H473)</f>
        <v>1539992</v>
      </c>
      <c r="I474" s="53">
        <f>SUM(I472:I473)</f>
        <v>6867375</v>
      </c>
      <c r="J474" s="53">
        <f>SUM(J472:J473)</f>
        <v>139150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1832910</v>
      </c>
      <c r="G476" s="53">
        <f>(G465+G470)- G474</f>
        <v>5780</v>
      </c>
      <c r="H476" s="53">
        <f>(H465+H470)- H474</f>
        <v>0</v>
      </c>
      <c r="I476" s="53">
        <f>(I465+I470)- I474</f>
        <v>5446090</v>
      </c>
      <c r="J476" s="53">
        <f>(J465+J470)- J474</f>
        <v>294009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 t="s">
        <v>913</v>
      </c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 t="s">
        <v>914</v>
      </c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6600000</v>
      </c>
      <c r="G493" s="18">
        <v>11195000</v>
      </c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5.43</v>
      </c>
      <c r="G494" s="18">
        <v>3.58</v>
      </c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990000</v>
      </c>
      <c r="G495" s="18">
        <v>11195000</v>
      </c>
      <c r="H495" s="18"/>
      <c r="I495" s="18"/>
      <c r="J495" s="18"/>
      <c r="K495" s="53">
        <f>SUM(F495:J495)</f>
        <v>12185000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330000</v>
      </c>
      <c r="G497" s="18">
        <v>0</v>
      </c>
      <c r="H497" s="18"/>
      <c r="I497" s="18"/>
      <c r="J497" s="18"/>
      <c r="K497" s="53">
        <f t="shared" si="35"/>
        <v>330000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660000</v>
      </c>
      <c r="G498" s="204">
        <v>11195000</v>
      </c>
      <c r="H498" s="204"/>
      <c r="I498" s="204"/>
      <c r="J498" s="204"/>
      <c r="K498" s="205">
        <f t="shared" si="35"/>
        <v>11855000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37125</v>
      </c>
      <c r="G499" s="18">
        <v>5653437.5</v>
      </c>
      <c r="H499" s="18"/>
      <c r="I499" s="18"/>
      <c r="J499" s="18"/>
      <c r="K499" s="53">
        <f t="shared" si="35"/>
        <v>5690562.5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697125</v>
      </c>
      <c r="G500" s="42">
        <f>SUM(G498:G499)</f>
        <v>16848437.5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17545562.5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330000</v>
      </c>
      <c r="G501" s="204">
        <v>565000</v>
      </c>
      <c r="H501" s="204"/>
      <c r="I501" s="204"/>
      <c r="J501" s="204"/>
      <c r="K501" s="205">
        <f t="shared" si="35"/>
        <v>895000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27843.75</v>
      </c>
      <c r="G502" s="18">
        <v>559337.5</v>
      </c>
      <c r="H502" s="18"/>
      <c r="I502" s="18"/>
      <c r="J502" s="18"/>
      <c r="K502" s="53">
        <f t="shared" si="35"/>
        <v>587181.25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357843.75</v>
      </c>
      <c r="G503" s="42">
        <f>SUM(G501:G502)</f>
        <v>1124337.5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1482181.25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2066928</v>
      </c>
      <c r="G521" s="18">
        <v>794108</v>
      </c>
      <c r="H521" s="18">
        <v>364094</v>
      </c>
      <c r="I521" s="18">
        <v>34254</v>
      </c>
      <c r="J521" s="18">
        <v>1636</v>
      </c>
      <c r="K521" s="18"/>
      <c r="L521" s="88">
        <f>SUM(F521:K521)</f>
        <v>3261020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797121</v>
      </c>
      <c r="G522" s="18">
        <v>378211</v>
      </c>
      <c r="H522" s="18">
        <v>491172</v>
      </c>
      <c r="I522" s="18">
        <v>8635</v>
      </c>
      <c r="J522" s="18">
        <v>2678</v>
      </c>
      <c r="K522" s="18"/>
      <c r="L522" s="88">
        <f>SUM(F522:K522)</f>
        <v>1677817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756982</v>
      </c>
      <c r="G523" s="18">
        <v>372515</v>
      </c>
      <c r="H523" s="18">
        <v>1117284</v>
      </c>
      <c r="I523" s="18">
        <v>10600</v>
      </c>
      <c r="J523" s="18">
        <v>2515</v>
      </c>
      <c r="K523" s="18"/>
      <c r="L523" s="88">
        <f>SUM(F523:K523)</f>
        <v>2259896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3621031</v>
      </c>
      <c r="G524" s="108">
        <f t="shared" ref="G524:L524" si="36">SUM(G521:G523)</f>
        <v>1544834</v>
      </c>
      <c r="H524" s="108">
        <f t="shared" si="36"/>
        <v>1972550</v>
      </c>
      <c r="I524" s="108">
        <f t="shared" si="36"/>
        <v>53489</v>
      </c>
      <c r="J524" s="108">
        <f t="shared" si="36"/>
        <v>6829</v>
      </c>
      <c r="K524" s="108">
        <f t="shared" si="36"/>
        <v>0</v>
      </c>
      <c r="L524" s="89">
        <f t="shared" si="36"/>
        <v>7198733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118653</v>
      </c>
      <c r="G526" s="18">
        <v>88376</v>
      </c>
      <c r="H526" s="18">
        <v>289234</v>
      </c>
      <c r="I526" s="18"/>
      <c r="J526" s="18"/>
      <c r="K526" s="18"/>
      <c r="L526" s="88">
        <f>SUM(F526:K526)</f>
        <v>496263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97590</v>
      </c>
      <c r="G527" s="18">
        <v>71430</v>
      </c>
      <c r="H527" s="18">
        <v>157123</v>
      </c>
      <c r="I527" s="18"/>
      <c r="J527" s="18"/>
      <c r="K527" s="18"/>
      <c r="L527" s="88">
        <f>SUM(F527:K527)</f>
        <v>326143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78817</v>
      </c>
      <c r="G528" s="18">
        <v>59412</v>
      </c>
      <c r="H528" s="18">
        <v>236454</v>
      </c>
      <c r="I528" s="18"/>
      <c r="J528" s="18"/>
      <c r="K528" s="18"/>
      <c r="L528" s="88">
        <f>SUM(F528:K528)</f>
        <v>374683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295060</v>
      </c>
      <c r="G529" s="89">
        <f t="shared" ref="G529:L529" si="37">SUM(G526:G528)</f>
        <v>219218</v>
      </c>
      <c r="H529" s="89">
        <f t="shared" si="37"/>
        <v>682811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1197089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46435</v>
      </c>
      <c r="G531" s="18">
        <v>24128</v>
      </c>
      <c r="H531" s="18">
        <v>2828</v>
      </c>
      <c r="I531" s="18">
        <v>165</v>
      </c>
      <c r="J531" s="18"/>
      <c r="K531" s="18">
        <v>1200</v>
      </c>
      <c r="L531" s="88">
        <f>SUM(F531:K531)</f>
        <v>74756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23712</v>
      </c>
      <c r="G532" s="18">
        <v>12321</v>
      </c>
      <c r="H532" s="18">
        <v>1444</v>
      </c>
      <c r="I532" s="18">
        <v>84</v>
      </c>
      <c r="J532" s="18"/>
      <c r="K532" s="18">
        <v>613</v>
      </c>
      <c r="L532" s="88">
        <f>SUM(F532:K532)</f>
        <v>38174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30845</v>
      </c>
      <c r="G533" s="18">
        <v>16028</v>
      </c>
      <c r="H533" s="18">
        <v>1878</v>
      </c>
      <c r="I533" s="18">
        <v>110</v>
      </c>
      <c r="J533" s="18"/>
      <c r="K533" s="18">
        <v>797</v>
      </c>
      <c r="L533" s="88">
        <f>SUM(F533:K533)</f>
        <v>49658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100992</v>
      </c>
      <c r="G534" s="89">
        <f t="shared" ref="G534:L534" si="38">SUM(G531:G533)</f>
        <v>52477</v>
      </c>
      <c r="H534" s="89">
        <f t="shared" si="38"/>
        <v>6150</v>
      </c>
      <c r="I534" s="89">
        <f t="shared" si="38"/>
        <v>359</v>
      </c>
      <c r="J534" s="89">
        <f t="shared" si="38"/>
        <v>0</v>
      </c>
      <c r="K534" s="89">
        <f t="shared" si="38"/>
        <v>2610</v>
      </c>
      <c r="L534" s="89">
        <f t="shared" si="38"/>
        <v>162588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3553</v>
      </c>
      <c r="I536" s="18"/>
      <c r="J536" s="18"/>
      <c r="K536" s="18"/>
      <c r="L536" s="88">
        <f>SUM(F536:K536)</f>
        <v>3553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3553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3553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80087</v>
      </c>
      <c r="I541" s="18"/>
      <c r="J541" s="18"/>
      <c r="K541" s="18"/>
      <c r="L541" s="88">
        <f>SUM(F541:K541)</f>
        <v>80087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98170</v>
      </c>
      <c r="I542" s="18"/>
      <c r="J542" s="18"/>
      <c r="K542" s="18"/>
      <c r="L542" s="88">
        <f>SUM(F542:K542)</f>
        <v>98170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126867</v>
      </c>
      <c r="I543" s="18"/>
      <c r="J543" s="18"/>
      <c r="K543" s="18"/>
      <c r="L543" s="88">
        <f>SUM(F543:K543)</f>
        <v>126867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305124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305124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4017083</v>
      </c>
      <c r="G545" s="89">
        <f t="shared" ref="G545:L545" si="41">G524+G529+G534+G539+G544</f>
        <v>1816529</v>
      </c>
      <c r="H545" s="89">
        <f t="shared" si="41"/>
        <v>2970188</v>
      </c>
      <c r="I545" s="89">
        <f t="shared" si="41"/>
        <v>53848</v>
      </c>
      <c r="J545" s="89">
        <f t="shared" si="41"/>
        <v>6829</v>
      </c>
      <c r="K545" s="89">
        <f t="shared" si="41"/>
        <v>2610</v>
      </c>
      <c r="L545" s="89">
        <f t="shared" si="41"/>
        <v>8867087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3261020</v>
      </c>
      <c r="G549" s="87">
        <f>L526</f>
        <v>496263</v>
      </c>
      <c r="H549" s="87">
        <f>L531</f>
        <v>74756</v>
      </c>
      <c r="I549" s="87">
        <f>L536</f>
        <v>3553</v>
      </c>
      <c r="J549" s="87">
        <f>L541</f>
        <v>80087</v>
      </c>
      <c r="K549" s="87">
        <f>SUM(F549:J549)</f>
        <v>3915679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1677817</v>
      </c>
      <c r="G550" s="87">
        <f>L527</f>
        <v>326143</v>
      </c>
      <c r="H550" s="87">
        <f>L532</f>
        <v>38174</v>
      </c>
      <c r="I550" s="87">
        <f>L537</f>
        <v>0</v>
      </c>
      <c r="J550" s="87">
        <f>L542</f>
        <v>98170</v>
      </c>
      <c r="K550" s="87">
        <f>SUM(F550:J550)</f>
        <v>2140304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2259896</v>
      </c>
      <c r="G551" s="87">
        <f>L528</f>
        <v>374683</v>
      </c>
      <c r="H551" s="87">
        <f>L533</f>
        <v>49658</v>
      </c>
      <c r="I551" s="87">
        <f>L538</f>
        <v>0</v>
      </c>
      <c r="J551" s="87">
        <f>L543</f>
        <v>126867</v>
      </c>
      <c r="K551" s="87">
        <f>SUM(F551:J551)</f>
        <v>2811104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7198733</v>
      </c>
      <c r="G552" s="89">
        <f t="shared" si="42"/>
        <v>1197089</v>
      </c>
      <c r="H552" s="89">
        <f t="shared" si="42"/>
        <v>162588</v>
      </c>
      <c r="I552" s="89">
        <f t="shared" si="42"/>
        <v>3553</v>
      </c>
      <c r="J552" s="89">
        <f t="shared" si="42"/>
        <v>305124</v>
      </c>
      <c r="K552" s="89">
        <f t="shared" si="42"/>
        <v>8867087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8030</v>
      </c>
      <c r="G575" s="18">
        <v>4596</v>
      </c>
      <c r="H575" s="18">
        <v>5980</v>
      </c>
      <c r="I575" s="87">
        <f>SUM(F575:H575)</f>
        <v>18606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4215</v>
      </c>
      <c r="I579" s="87">
        <f t="shared" si="47"/>
        <v>4215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2073</v>
      </c>
      <c r="I580" s="87">
        <f t="shared" si="47"/>
        <v>2073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345170</v>
      </c>
      <c r="G582" s="18">
        <v>483094</v>
      </c>
      <c r="H582" s="18">
        <v>973713</v>
      </c>
      <c r="I582" s="87">
        <f t="shared" si="47"/>
        <v>1801977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27069</v>
      </c>
      <c r="I584" s="87">
        <f t="shared" si="47"/>
        <v>27069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336883</v>
      </c>
      <c r="I591" s="18">
        <v>114582</v>
      </c>
      <c r="J591" s="18">
        <v>109283</v>
      </c>
      <c r="K591" s="104">
        <f t="shared" ref="K591:K597" si="48">SUM(H591:J591)</f>
        <v>560748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80087</v>
      </c>
      <c r="I592" s="18">
        <v>98170</v>
      </c>
      <c r="J592" s="18">
        <v>126867</v>
      </c>
      <c r="K592" s="104">
        <f t="shared" si="48"/>
        <v>305124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40607</v>
      </c>
      <c r="K593" s="104">
        <f t="shared" si="48"/>
        <v>40607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9294</v>
      </c>
      <c r="J594" s="18">
        <v>42340</v>
      </c>
      <c r="K594" s="104">
        <f t="shared" si="48"/>
        <v>51634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3657</v>
      </c>
      <c r="I595" s="18">
        <v>6359</v>
      </c>
      <c r="J595" s="18">
        <v>9960</v>
      </c>
      <c r="K595" s="104">
        <f t="shared" si="48"/>
        <v>19976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420627</v>
      </c>
      <c r="I598" s="108">
        <f>SUM(I591:I597)</f>
        <v>228405</v>
      </c>
      <c r="J598" s="108">
        <f>SUM(J591:J597)</f>
        <v>329057</v>
      </c>
      <c r="K598" s="108">
        <f>SUM(K591:K597)</f>
        <v>978089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248426</v>
      </c>
      <c r="I604" s="18">
        <v>128696</v>
      </c>
      <c r="J604" s="18">
        <v>202157</v>
      </c>
      <c r="K604" s="104">
        <f>SUM(H604:J604)</f>
        <v>579279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248426</v>
      </c>
      <c r="I605" s="108">
        <f>SUM(I602:I604)</f>
        <v>128696</v>
      </c>
      <c r="J605" s="108">
        <f>SUM(J602:J604)</f>
        <v>202157</v>
      </c>
      <c r="K605" s="108">
        <f>SUM(K602:K604)</f>
        <v>579279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2855342</v>
      </c>
      <c r="H617" s="109">
        <f>SUM(F52)</f>
        <v>2855342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108602</v>
      </c>
      <c r="H618" s="109">
        <f>SUM(G52)</f>
        <v>108602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463833</v>
      </c>
      <c r="H619" s="109">
        <f>SUM(H52)</f>
        <v>463833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7618186</v>
      </c>
      <c r="H620" s="109">
        <f>SUM(I52)</f>
        <v>7618186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298923</v>
      </c>
      <c r="H621" s="109">
        <f>SUM(J52)</f>
        <v>298923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1832910</v>
      </c>
      <c r="H622" s="109">
        <f>F476</f>
        <v>1832910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5780</v>
      </c>
      <c r="H623" s="109">
        <f>G476</f>
        <v>5780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5446090</v>
      </c>
      <c r="H625" s="109">
        <f>I476</f>
        <v>5446090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294009</v>
      </c>
      <c r="H626" s="109">
        <f>J476</f>
        <v>294009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30621548</v>
      </c>
      <c r="H627" s="104">
        <f>SUM(F468)</f>
        <v>30621548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608640</v>
      </c>
      <c r="H628" s="104">
        <f>SUM(G468)</f>
        <v>608640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1539992</v>
      </c>
      <c r="H629" s="104">
        <f>SUM(H468)</f>
        <v>1539992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12593191</v>
      </c>
      <c r="H630" s="104">
        <f>SUM(I468)</f>
        <v>12593191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267785</v>
      </c>
      <c r="H631" s="104">
        <f>SUM(J468)</f>
        <v>267785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29696771</v>
      </c>
      <c r="H632" s="104">
        <f>SUM(F472)</f>
        <v>29696771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1539992</v>
      </c>
      <c r="H633" s="104">
        <f>SUM(H472)</f>
        <v>1539992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378164</v>
      </c>
      <c r="H634" s="104">
        <f>I369</f>
        <v>378164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632497</v>
      </c>
      <c r="H635" s="104">
        <f>SUM(G472)</f>
        <v>632497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6867375</v>
      </c>
      <c r="H636" s="104">
        <f>SUM(I472)</f>
        <v>6867375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267785</v>
      </c>
      <c r="H637" s="164">
        <f>SUM(J468)</f>
        <v>267785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139150</v>
      </c>
      <c r="H638" s="164">
        <f>SUM(J472)</f>
        <v>139150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298923</v>
      </c>
      <c r="H640" s="104">
        <f>SUM(G461)</f>
        <v>298923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298923</v>
      </c>
      <c r="H642" s="104">
        <f>SUM(I461)</f>
        <v>298923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267785</v>
      </c>
      <c r="H646" s="104">
        <f>L408</f>
        <v>267785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978089</v>
      </c>
      <c r="H647" s="104">
        <f>L208+L226+L244</f>
        <v>978089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579279</v>
      </c>
      <c r="H648" s="104">
        <f>(J257+J338)-(J255+J336)</f>
        <v>579279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420627</v>
      </c>
      <c r="H649" s="104">
        <f>H598</f>
        <v>420627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228405</v>
      </c>
      <c r="H650" s="104">
        <f>I598</f>
        <v>228405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329057</v>
      </c>
      <c r="H651" s="104">
        <f>J598</f>
        <v>329057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12745535</v>
      </c>
      <c r="G660" s="19">
        <f>(L229+L309+L359)</f>
        <v>6890587</v>
      </c>
      <c r="H660" s="19">
        <f>(L247+L328+L360)</f>
        <v>11420579</v>
      </c>
      <c r="I660" s="19">
        <f>SUM(F660:H660)</f>
        <v>31056701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74175.646980143778</v>
      </c>
      <c r="G661" s="19">
        <f>(L359/IF(SUM(L358:L360)=0,1,SUM(L358:L360))*(SUM(G97:G110)))</f>
        <v>36948.379495871122</v>
      </c>
      <c r="H661" s="19">
        <f>(L360/IF(SUM(L358:L360)=0,1,SUM(L358:L360))*(SUM(G97:G110)))</f>
        <v>48077.973523985092</v>
      </c>
      <c r="I661" s="19">
        <f>SUM(F661:H661)</f>
        <v>159202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394229</v>
      </c>
      <c r="G662" s="19">
        <f>(L226+L306)-(J226+J306)</f>
        <v>214925</v>
      </c>
      <c r="H662" s="19">
        <f>(L244+L325)-(J244+J325)</f>
        <v>318778</v>
      </c>
      <c r="I662" s="19">
        <f>SUM(F662:H662)</f>
        <v>927932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601626</v>
      </c>
      <c r="G663" s="199">
        <f>SUM(G575:G587)+SUM(I602:I604)+L612</f>
        <v>616386</v>
      </c>
      <c r="H663" s="199">
        <f>SUM(H575:H587)+SUM(J602:J604)+L613</f>
        <v>1215207</v>
      </c>
      <c r="I663" s="19">
        <f>SUM(F663:H663)</f>
        <v>2433219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11675504.353019856</v>
      </c>
      <c r="G664" s="19">
        <f>G660-SUM(G661:G663)</f>
        <v>6022327.6205041287</v>
      </c>
      <c r="H664" s="19">
        <f>H660-SUM(H661:H663)</f>
        <v>9838516.0264760144</v>
      </c>
      <c r="I664" s="19">
        <f>I660-SUM(I661:I663)</f>
        <v>27536348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795.33</v>
      </c>
      <c r="G665" s="248">
        <v>406.13</v>
      </c>
      <c r="H665" s="248">
        <v>528.30999999999995</v>
      </c>
      <c r="I665" s="19">
        <f>SUM(F665:H665)</f>
        <v>1729.77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14680.08</v>
      </c>
      <c r="G667" s="19">
        <f>ROUND(G664/G665,2)</f>
        <v>14828.57</v>
      </c>
      <c r="H667" s="19">
        <f>ROUND(H664/H665,2)</f>
        <v>18622.62</v>
      </c>
      <c r="I667" s="19">
        <f>ROUND(I664/I665,2)</f>
        <v>15919.08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-2.63</v>
      </c>
      <c r="I670" s="19">
        <f>SUM(F670:H670)</f>
        <v>-2.63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14680.08</v>
      </c>
      <c r="G672" s="19">
        <f>ROUND((G664+G669)/(G665+G670),2)</f>
        <v>14828.57</v>
      </c>
      <c r="H672" s="19">
        <f>ROUND((H664+H669)/(H665+H670),2)</f>
        <v>18715.79</v>
      </c>
      <c r="I672" s="19">
        <f>ROUND((I664+I669)/(I665+I670),2)</f>
        <v>15943.32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Claremont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5833559</v>
      </c>
      <c r="C9" s="229">
        <f>'DOE25'!G197+'DOE25'!G215+'DOE25'!G233+'DOE25'!G276+'DOE25'!G295+'DOE25'!G314</f>
        <v>3810751</v>
      </c>
    </row>
    <row r="10" spans="1:3" x14ac:dyDescent="0.2">
      <c r="A10" t="s">
        <v>779</v>
      </c>
      <c r="B10" s="240">
        <v>4968726</v>
      </c>
      <c r="C10" s="240">
        <v>3246379</v>
      </c>
    </row>
    <row r="11" spans="1:3" x14ac:dyDescent="0.2">
      <c r="A11" t="s">
        <v>780</v>
      </c>
      <c r="B11" s="240">
        <v>114204</v>
      </c>
      <c r="C11" s="240">
        <v>74310</v>
      </c>
    </row>
    <row r="12" spans="1:3" x14ac:dyDescent="0.2">
      <c r="A12" t="s">
        <v>781</v>
      </c>
      <c r="B12" s="240">
        <v>750629</v>
      </c>
      <c r="C12" s="240">
        <v>490062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5833559</v>
      </c>
      <c r="C13" s="231">
        <f>SUM(C10:C12)</f>
        <v>3810751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3622125</v>
      </c>
      <c r="C18" s="229">
        <f>'DOE25'!G198+'DOE25'!G216+'DOE25'!G234+'DOE25'!G277+'DOE25'!G296+'DOE25'!G315</f>
        <v>1585810</v>
      </c>
    </row>
    <row r="19" spans="1:3" x14ac:dyDescent="0.2">
      <c r="A19" t="s">
        <v>779</v>
      </c>
      <c r="B19" s="240">
        <v>1623525</v>
      </c>
      <c r="C19" s="240">
        <v>710919</v>
      </c>
    </row>
    <row r="20" spans="1:3" x14ac:dyDescent="0.2">
      <c r="A20" t="s">
        <v>780</v>
      </c>
      <c r="B20" s="240">
        <v>1876166</v>
      </c>
      <c r="C20" s="240">
        <v>821291</v>
      </c>
    </row>
    <row r="21" spans="1:3" x14ac:dyDescent="0.2">
      <c r="A21" t="s">
        <v>781</v>
      </c>
      <c r="B21" s="240">
        <v>122434</v>
      </c>
      <c r="C21" s="240">
        <v>53600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3622125</v>
      </c>
      <c r="C22" s="231">
        <f>SUM(C19:C21)</f>
        <v>1585810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794892</v>
      </c>
      <c r="C27" s="234">
        <f>'DOE25'!G199+'DOE25'!G217+'DOE25'!G235+'DOE25'!G278+'DOE25'!G297+'DOE25'!G316</f>
        <v>481679</v>
      </c>
    </row>
    <row r="28" spans="1:3" x14ac:dyDescent="0.2">
      <c r="A28" t="s">
        <v>779</v>
      </c>
      <c r="B28" s="240">
        <v>794892</v>
      </c>
      <c r="C28" s="240">
        <v>481679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794892</v>
      </c>
      <c r="C31" s="231">
        <f>SUM(C28:C30)</f>
        <v>481679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292115</v>
      </c>
      <c r="C36" s="235">
        <f>'DOE25'!G200+'DOE25'!G218+'DOE25'!G236+'DOE25'!G279+'DOE25'!G298+'DOE25'!G317</f>
        <v>82824</v>
      </c>
    </row>
    <row r="37" spans="1:3" x14ac:dyDescent="0.2">
      <c r="A37" t="s">
        <v>779</v>
      </c>
      <c r="B37" s="240">
        <v>227587</v>
      </c>
      <c r="C37" s="240">
        <v>64528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64528</v>
      </c>
      <c r="C39" s="240">
        <v>18296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292115</v>
      </c>
      <c r="C40" s="231">
        <f>SUM(C37:C39)</f>
        <v>82824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Claremont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19448954</v>
      </c>
      <c r="D5" s="20">
        <f>SUM('DOE25'!L197:L200)+SUM('DOE25'!L215:L218)+SUM('DOE25'!L233:L236)-F5-G5</f>
        <v>19157634</v>
      </c>
      <c r="E5" s="243"/>
      <c r="F5" s="255">
        <f>SUM('DOE25'!J197:J200)+SUM('DOE25'!J215:J218)+SUM('DOE25'!J233:J236)</f>
        <v>254757</v>
      </c>
      <c r="G5" s="53">
        <f>SUM('DOE25'!K197:K200)+SUM('DOE25'!K215:K218)+SUM('DOE25'!K233:K236)</f>
        <v>36563</v>
      </c>
      <c r="H5" s="259"/>
    </row>
    <row r="6" spans="1:9" x14ac:dyDescent="0.2">
      <c r="A6" s="32">
        <v>2100</v>
      </c>
      <c r="B6" t="s">
        <v>801</v>
      </c>
      <c r="C6" s="245">
        <f t="shared" si="0"/>
        <v>1677846</v>
      </c>
      <c r="D6" s="20">
        <f>'DOE25'!L202+'DOE25'!L220+'DOE25'!L238-F6-G6</f>
        <v>1674022</v>
      </c>
      <c r="E6" s="243"/>
      <c r="F6" s="255">
        <f>'DOE25'!J202+'DOE25'!J220+'DOE25'!J238</f>
        <v>2442</v>
      </c>
      <c r="G6" s="53">
        <f>'DOE25'!K202+'DOE25'!K220+'DOE25'!K238</f>
        <v>1382</v>
      </c>
      <c r="H6" s="259"/>
    </row>
    <row r="7" spans="1:9" x14ac:dyDescent="0.2">
      <c r="A7" s="32">
        <v>2200</v>
      </c>
      <c r="B7" t="s">
        <v>834</v>
      </c>
      <c r="C7" s="245">
        <f t="shared" si="0"/>
        <v>941077</v>
      </c>
      <c r="D7" s="20">
        <f>'DOE25'!L203+'DOE25'!L221+'DOE25'!L239-F7-G7</f>
        <v>718210</v>
      </c>
      <c r="E7" s="243"/>
      <c r="F7" s="255">
        <f>'DOE25'!J203+'DOE25'!J221+'DOE25'!J239</f>
        <v>220862</v>
      </c>
      <c r="G7" s="53">
        <f>'DOE25'!K203+'DOE25'!K221+'DOE25'!K239</f>
        <v>2005</v>
      </c>
      <c r="H7" s="259"/>
    </row>
    <row r="8" spans="1:9" x14ac:dyDescent="0.2">
      <c r="A8" s="32">
        <v>2300</v>
      </c>
      <c r="B8" t="s">
        <v>802</v>
      </c>
      <c r="C8" s="245">
        <f t="shared" si="0"/>
        <v>963287</v>
      </c>
      <c r="D8" s="243"/>
      <c r="E8" s="20">
        <f>'DOE25'!L204+'DOE25'!L222+'DOE25'!L240-F8-G8-D9-D11</f>
        <v>962282</v>
      </c>
      <c r="F8" s="255">
        <f>'DOE25'!J204+'DOE25'!J222+'DOE25'!J240</f>
        <v>0</v>
      </c>
      <c r="G8" s="53">
        <f>'DOE25'!K204+'DOE25'!K222+'DOE25'!K240</f>
        <v>1005</v>
      </c>
      <c r="H8" s="259"/>
    </row>
    <row r="9" spans="1:9" x14ac:dyDescent="0.2">
      <c r="A9" s="32">
        <v>2310</v>
      </c>
      <c r="B9" t="s">
        <v>818</v>
      </c>
      <c r="C9" s="245">
        <f t="shared" si="0"/>
        <v>119821</v>
      </c>
      <c r="D9" s="244">
        <v>119821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49770</v>
      </c>
      <c r="D10" s="243"/>
      <c r="E10" s="244">
        <v>49770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312654</v>
      </c>
      <c r="D11" s="244">
        <v>312654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1855464</v>
      </c>
      <c r="D12" s="20">
        <f>'DOE25'!L205+'DOE25'!L223+'DOE25'!L241-F12-G12</f>
        <v>1848441</v>
      </c>
      <c r="E12" s="243"/>
      <c r="F12" s="255">
        <f>'DOE25'!J205+'DOE25'!J223+'DOE25'!J241</f>
        <v>567</v>
      </c>
      <c r="G12" s="53">
        <f>'DOE25'!K205+'DOE25'!K223+'DOE25'!K241</f>
        <v>6456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8058</v>
      </c>
      <c r="D13" s="243"/>
      <c r="E13" s="20">
        <f>'DOE25'!L206+'DOE25'!L224+'DOE25'!L242-F13-G13</f>
        <v>8058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2612630</v>
      </c>
      <c r="D14" s="20">
        <f>'DOE25'!L207+'DOE25'!L225+'DOE25'!L243-F14-G14</f>
        <v>2594213</v>
      </c>
      <c r="E14" s="243"/>
      <c r="F14" s="255">
        <f>'DOE25'!J207+'DOE25'!J225+'DOE25'!J243</f>
        <v>18417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978089</v>
      </c>
      <c r="D15" s="20">
        <f>'DOE25'!L208+'DOE25'!L226+'DOE25'!L244-F15-G15</f>
        <v>920675</v>
      </c>
      <c r="E15" s="243"/>
      <c r="F15" s="255">
        <f>'DOE25'!J208+'DOE25'!J226+'DOE25'!J244</f>
        <v>57414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72788</v>
      </c>
      <c r="D17" s="20">
        <f>'DOE25'!L251-F17-G17</f>
        <v>72778</v>
      </c>
      <c r="E17" s="243"/>
      <c r="F17" s="255">
        <f>'DOE25'!J251</f>
        <v>0</v>
      </c>
      <c r="G17" s="53">
        <f>'DOE25'!K251</f>
        <v>10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706103</v>
      </c>
      <c r="D25" s="243"/>
      <c r="E25" s="243"/>
      <c r="F25" s="258"/>
      <c r="G25" s="256"/>
      <c r="H25" s="257">
        <f>'DOE25'!L260+'DOE25'!L261+'DOE25'!L341+'DOE25'!L342</f>
        <v>706103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305907</v>
      </c>
      <c r="D29" s="20">
        <f>'DOE25'!L358+'DOE25'!L359+'DOE25'!L360-'DOE25'!I367-F29-G29</f>
        <v>304420</v>
      </c>
      <c r="E29" s="243"/>
      <c r="F29" s="255">
        <f>'DOE25'!J358+'DOE25'!J359+'DOE25'!J360</f>
        <v>1369</v>
      </c>
      <c r="G29" s="53">
        <f>'DOE25'!K358+'DOE25'!K359+'DOE25'!K360</f>
        <v>118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1539992</v>
      </c>
      <c r="D31" s="20">
        <f>'DOE25'!L290+'DOE25'!L309+'DOE25'!L328+'DOE25'!L333+'DOE25'!L334+'DOE25'!L335-F31-G31</f>
        <v>1479227</v>
      </c>
      <c r="E31" s="243"/>
      <c r="F31" s="255">
        <f>'DOE25'!J290+'DOE25'!J309+'DOE25'!J328+'DOE25'!J333+'DOE25'!J334+'DOE25'!J335</f>
        <v>24820</v>
      </c>
      <c r="G31" s="53">
        <f>'DOE25'!K290+'DOE25'!K309+'DOE25'!K328+'DOE25'!K333+'DOE25'!K334+'DOE25'!K335</f>
        <v>35945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29202095</v>
      </c>
      <c r="E33" s="246">
        <f>SUM(E5:E31)</f>
        <v>1020110</v>
      </c>
      <c r="F33" s="246">
        <f>SUM(F5:F31)</f>
        <v>580648</v>
      </c>
      <c r="G33" s="246">
        <f>SUM(G5:G31)</f>
        <v>83484</v>
      </c>
      <c r="H33" s="246">
        <f>SUM(H5:H31)</f>
        <v>706103</v>
      </c>
    </row>
    <row r="35" spans="2:8" ht="12" thickBot="1" x14ac:dyDescent="0.25">
      <c r="B35" s="253" t="s">
        <v>847</v>
      </c>
      <c r="D35" s="254">
        <f>E33</f>
        <v>1020110</v>
      </c>
      <c r="E35" s="249"/>
    </row>
    <row r="36" spans="2:8" ht="12" thickTop="1" x14ac:dyDescent="0.2">
      <c r="B36" t="s">
        <v>815</v>
      </c>
      <c r="D36" s="20">
        <f>D33</f>
        <v>29202095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120" zoomScaleNormal="120" workbookViewId="0">
      <pane ySplit="2" topLeftCell="A136" activePane="bottomLeft" state="frozen"/>
      <selection activeCell="F46" sqref="F46"/>
      <selection pane="bottomLeft" activeCell="I163" sqref="I160:I16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Claremont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1697369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7618186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969724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297680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157334</v>
      </c>
      <c r="D12" s="95">
        <f>'DOE25'!G13</f>
        <v>97519</v>
      </c>
      <c r="E12" s="95">
        <f>'DOE25'!H13</f>
        <v>463833</v>
      </c>
      <c r="F12" s="95">
        <f>'DOE25'!I13</f>
        <v>0</v>
      </c>
      <c r="G12" s="95">
        <f>'DOE25'!J13</f>
        <v>1243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19257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11083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11658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2855342</v>
      </c>
      <c r="D18" s="41">
        <f>SUM(D8:D17)</f>
        <v>108602</v>
      </c>
      <c r="E18" s="41">
        <f>SUM(E8:E17)</f>
        <v>463833</v>
      </c>
      <c r="F18" s="41">
        <f>SUM(F8:F17)</f>
        <v>7618186</v>
      </c>
      <c r="G18" s="41">
        <f>SUM(G8:G17)</f>
        <v>298923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32473</v>
      </c>
      <c r="E21" s="95">
        <f>'DOE25'!H22</f>
        <v>399870</v>
      </c>
      <c r="F21" s="95">
        <f>'DOE25'!I22</f>
        <v>835061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80732</v>
      </c>
      <c r="D22" s="95">
        <f>'DOE25'!G23</f>
        <v>0</v>
      </c>
      <c r="E22" s="95">
        <f>'DOE25'!H23</f>
        <v>7487</v>
      </c>
      <c r="F22" s="95">
        <f>'DOE25'!I23</f>
        <v>0</v>
      </c>
      <c r="G22" s="95">
        <f>'DOE25'!J23</f>
        <v>339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492840</v>
      </c>
      <c r="D23" s="95">
        <f>'DOE25'!G24</f>
        <v>62736</v>
      </c>
      <c r="E23" s="95">
        <f>'DOE25'!H24</f>
        <v>25758</v>
      </c>
      <c r="F23" s="95">
        <f>'DOE25'!I24</f>
        <v>1336074</v>
      </c>
      <c r="G23" s="95">
        <f>'DOE25'!J24</f>
        <v>2670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961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448860</v>
      </c>
      <c r="D28" s="95">
        <f>'DOE25'!G29</f>
        <v>1652</v>
      </c>
      <c r="E28" s="95">
        <f>'DOE25'!H29</f>
        <v>21601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5961</v>
      </c>
      <c r="E29" s="95">
        <f>'DOE25'!H30</f>
        <v>9117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1905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1022432</v>
      </c>
      <c r="D31" s="41">
        <f>SUM(D21:D30)</f>
        <v>102822</v>
      </c>
      <c r="E31" s="41">
        <f>SUM(E21:E30)</f>
        <v>463833</v>
      </c>
      <c r="F31" s="41">
        <f>SUM(F21:F30)</f>
        <v>2172096</v>
      </c>
      <c r="G31" s="41">
        <f>SUM(G21:G30)</f>
        <v>4914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11083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11658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362777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190015</v>
      </c>
      <c r="D47" s="95">
        <f>'DOE25'!G48</f>
        <v>-5303</v>
      </c>
      <c r="E47" s="95">
        <f>'DOE25'!H48</f>
        <v>0</v>
      </c>
      <c r="F47" s="95">
        <f>'DOE25'!I48</f>
        <v>5446090</v>
      </c>
      <c r="G47" s="95">
        <f>'DOE25'!J48</f>
        <v>294009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1268460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1832910</v>
      </c>
      <c r="D50" s="41">
        <f>SUM(D34:D49)</f>
        <v>5780</v>
      </c>
      <c r="E50" s="41">
        <f>SUM(E34:E49)</f>
        <v>0</v>
      </c>
      <c r="F50" s="41">
        <f>SUM(F34:F49)</f>
        <v>5446090</v>
      </c>
      <c r="G50" s="41">
        <f>SUM(G34:G49)</f>
        <v>294009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2855342</v>
      </c>
      <c r="D51" s="41">
        <f>D50+D31</f>
        <v>108602</v>
      </c>
      <c r="E51" s="41">
        <f>E50+E31</f>
        <v>463833</v>
      </c>
      <c r="F51" s="41">
        <f>F50+F31</f>
        <v>7618186</v>
      </c>
      <c r="G51" s="41">
        <f>G50+G31</f>
        <v>298923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13575783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714750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5123</v>
      </c>
      <c r="D59" s="95">
        <f>'DOE25'!G96</f>
        <v>0</v>
      </c>
      <c r="E59" s="95">
        <f>'DOE25'!H96</f>
        <v>0</v>
      </c>
      <c r="F59" s="95">
        <f>'DOE25'!I96</f>
        <v>17242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159202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716455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267785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1436328</v>
      </c>
      <c r="D62" s="130">
        <f>SUM(D57:D61)</f>
        <v>159202</v>
      </c>
      <c r="E62" s="130">
        <f>SUM(E57:E61)</f>
        <v>0</v>
      </c>
      <c r="F62" s="130">
        <f>SUM(F57:F61)</f>
        <v>17242</v>
      </c>
      <c r="G62" s="130">
        <f>SUM(G57:G61)</f>
        <v>267785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15012111</v>
      </c>
      <c r="D63" s="22">
        <f>D56+D62</f>
        <v>159202</v>
      </c>
      <c r="E63" s="22">
        <f>E56+E62</f>
        <v>0</v>
      </c>
      <c r="F63" s="22">
        <f>F56+F62</f>
        <v>17242</v>
      </c>
      <c r="G63" s="22">
        <f>G56+G62</f>
        <v>267785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12545834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1972781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14518615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99000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509545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10490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10202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619035</v>
      </c>
      <c r="D78" s="130">
        <f>SUM(D72:D77)</f>
        <v>10202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15137650</v>
      </c>
      <c r="D81" s="130">
        <f>SUM(D79:D80)+D78+D70</f>
        <v>10202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79780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334944</v>
      </c>
      <c r="D88" s="95">
        <f>SUM('DOE25'!G153:G161)</f>
        <v>439236</v>
      </c>
      <c r="E88" s="95">
        <f>SUM('DOE25'!H153:H161)</f>
        <v>1539992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414724</v>
      </c>
      <c r="D91" s="131">
        <f>SUM(D85:D90)</f>
        <v>439236</v>
      </c>
      <c r="E91" s="131">
        <f>SUM(E85:E90)</f>
        <v>1539992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12575949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57063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57063</v>
      </c>
      <c r="D103" s="86">
        <f>SUM(D93:D102)</f>
        <v>0</v>
      </c>
      <c r="E103" s="86">
        <f>SUM(E93:E102)</f>
        <v>0</v>
      </c>
      <c r="F103" s="86">
        <f>SUM(F93:F102)</f>
        <v>12575949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30621548</v>
      </c>
      <c r="D104" s="86">
        <f>D63+D81+D91+D103</f>
        <v>608640</v>
      </c>
      <c r="E104" s="86">
        <f>E63+E81+E91+E103</f>
        <v>1539992</v>
      </c>
      <c r="F104" s="86">
        <f>F63+F81+F91+F103</f>
        <v>12593191</v>
      </c>
      <c r="G104" s="86">
        <f>G63+G81+G103</f>
        <v>267785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10441335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7241934</v>
      </c>
      <c r="D110" s="24" t="s">
        <v>289</v>
      </c>
      <c r="E110" s="95">
        <f>('DOE25'!L277)+('DOE25'!L296)+('DOE25'!L315)</f>
        <v>979762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1367517</v>
      </c>
      <c r="D111" s="24" t="s">
        <v>289</v>
      </c>
      <c r="E111" s="95">
        <f>('DOE25'!L278)+('DOE25'!L297)+('DOE25'!L316)</f>
        <v>42897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398168</v>
      </c>
      <c r="D112" s="24" t="s">
        <v>289</v>
      </c>
      <c r="E112" s="95">
        <f>+('DOE25'!L279)+('DOE25'!L298)+('DOE25'!L317)</f>
        <v>68317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72788</v>
      </c>
      <c r="D114" s="24" t="s">
        <v>289</v>
      </c>
      <c r="E114" s="95">
        <f>+ SUM('DOE25'!L333:L335)</f>
        <v>33668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19521742</v>
      </c>
      <c r="D115" s="86">
        <f>SUM(D109:D114)</f>
        <v>0</v>
      </c>
      <c r="E115" s="86">
        <f>SUM(E109:E114)</f>
        <v>1124644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1677846</v>
      </c>
      <c r="D118" s="24" t="s">
        <v>289</v>
      </c>
      <c r="E118" s="95">
        <f>+('DOE25'!L281)+('DOE25'!L300)+('DOE25'!L319)</f>
        <v>339513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941077</v>
      </c>
      <c r="D119" s="24" t="s">
        <v>289</v>
      </c>
      <c r="E119" s="95">
        <f>+('DOE25'!L282)+('DOE25'!L301)+('DOE25'!L320)</f>
        <v>6499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1395762</v>
      </c>
      <c r="D120" s="24" t="s">
        <v>289</v>
      </c>
      <c r="E120" s="95">
        <f>+('DOE25'!L283)+('DOE25'!L302)+('DOE25'!L321)</f>
        <v>33374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1855464</v>
      </c>
      <c r="D121" s="24" t="s">
        <v>289</v>
      </c>
      <c r="E121" s="95">
        <f>+('DOE25'!L284)+('DOE25'!L303)+('DOE25'!L322)</f>
        <v>2039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8058</v>
      </c>
      <c r="D122" s="24" t="s">
        <v>289</v>
      </c>
      <c r="E122" s="95">
        <f>+('DOE25'!L285)+('DOE25'!L304)+('DOE25'!L323)</f>
        <v>26666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2612630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978089</v>
      </c>
      <c r="D124" s="24" t="s">
        <v>289</v>
      </c>
      <c r="E124" s="95">
        <f>+('DOE25'!L287)+('DOE25'!L306)+('DOE25'!L325)</f>
        <v>7257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632497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9468926</v>
      </c>
      <c r="D128" s="86">
        <f>SUM(D118:D127)</f>
        <v>632497</v>
      </c>
      <c r="E128" s="86">
        <f>SUM(E118:E127)</f>
        <v>415348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6867375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330000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376103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6783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267785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-267785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706103</v>
      </c>
      <c r="D144" s="141">
        <f>SUM(D130:D143)</f>
        <v>0</v>
      </c>
      <c r="E144" s="141">
        <f>SUM(E130:E143)</f>
        <v>0</v>
      </c>
      <c r="F144" s="141">
        <f>SUM(F130:F143)</f>
        <v>6867375</v>
      </c>
      <c r="G144" s="141">
        <f>SUM(G130:G143)</f>
        <v>6783</v>
      </c>
    </row>
    <row r="145" spans="1:9" ht="12.75" thickTop="1" thickBot="1" x14ac:dyDescent="0.25">
      <c r="A145" s="33" t="s">
        <v>244</v>
      </c>
      <c r="C145" s="86">
        <f>(C115+C128+C144)</f>
        <v>29696771</v>
      </c>
      <c r="D145" s="86">
        <f>(D115+D128+D144)</f>
        <v>632497</v>
      </c>
      <c r="E145" s="86">
        <f>(E115+E128+E144)</f>
        <v>1539992</v>
      </c>
      <c r="F145" s="86">
        <f>(F115+F128+F144)</f>
        <v>6867375</v>
      </c>
      <c r="G145" s="86">
        <f>(G115+G128+G144)</f>
        <v>6783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08/95</v>
      </c>
      <c r="C152" s="152" t="str">
        <f>'DOE25'!G491</f>
        <v>08/13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08/15</v>
      </c>
      <c r="C153" s="152" t="str">
        <f>'DOE25'!G492</f>
        <v>08/33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6600000</v>
      </c>
      <c r="C154" s="137">
        <f>'DOE25'!G493</f>
        <v>11195000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5.43</v>
      </c>
      <c r="C155" s="137">
        <f>'DOE25'!G494</f>
        <v>3.58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990000</v>
      </c>
      <c r="C156" s="137">
        <f>'DOE25'!G495</f>
        <v>11195000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12185000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330000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330000</v>
      </c>
    </row>
    <row r="159" spans="1:9" x14ac:dyDescent="0.2">
      <c r="A159" s="22" t="s">
        <v>35</v>
      </c>
      <c r="B159" s="137">
        <f>'DOE25'!F498</f>
        <v>660000</v>
      </c>
      <c r="C159" s="137">
        <f>'DOE25'!G498</f>
        <v>11195000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11855000</v>
      </c>
    </row>
    <row r="160" spans="1:9" x14ac:dyDescent="0.2">
      <c r="A160" s="22" t="s">
        <v>36</v>
      </c>
      <c r="B160" s="137">
        <f>'DOE25'!F499</f>
        <v>37125</v>
      </c>
      <c r="C160" s="137">
        <f>'DOE25'!G499</f>
        <v>5653437.5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5690562.5</v>
      </c>
    </row>
    <row r="161" spans="1:7" x14ac:dyDescent="0.2">
      <c r="A161" s="22" t="s">
        <v>37</v>
      </c>
      <c r="B161" s="137">
        <f>'DOE25'!F500</f>
        <v>697125</v>
      </c>
      <c r="C161" s="137">
        <f>'DOE25'!G500</f>
        <v>16848437.5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17545562.5</v>
      </c>
    </row>
    <row r="162" spans="1:7" x14ac:dyDescent="0.2">
      <c r="A162" s="22" t="s">
        <v>38</v>
      </c>
      <c r="B162" s="137">
        <f>'DOE25'!F501</f>
        <v>330000</v>
      </c>
      <c r="C162" s="137">
        <f>'DOE25'!G501</f>
        <v>565000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895000</v>
      </c>
    </row>
    <row r="163" spans="1:7" x14ac:dyDescent="0.2">
      <c r="A163" s="22" t="s">
        <v>39</v>
      </c>
      <c r="B163" s="137">
        <f>'DOE25'!F502</f>
        <v>27843.75</v>
      </c>
      <c r="C163" s="137">
        <f>'DOE25'!G502</f>
        <v>559337.5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587181.25</v>
      </c>
    </row>
    <row r="164" spans="1:7" x14ac:dyDescent="0.2">
      <c r="A164" s="22" t="s">
        <v>246</v>
      </c>
      <c r="B164" s="137">
        <f>'DOE25'!F503</f>
        <v>357843.75</v>
      </c>
      <c r="C164" s="137">
        <f>'DOE25'!G503</f>
        <v>1124337.5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1482181.25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Claremont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14680</v>
      </c>
    </row>
    <row r="5" spans="1:4" x14ac:dyDescent="0.2">
      <c r="B5" t="s">
        <v>704</v>
      </c>
      <c r="C5" s="179">
        <f>IF('DOE25'!G665+'DOE25'!G670=0,0,ROUND('DOE25'!G672,0))</f>
        <v>14829</v>
      </c>
    </row>
    <row r="6" spans="1:4" x14ac:dyDescent="0.2">
      <c r="B6" t="s">
        <v>62</v>
      </c>
      <c r="C6" s="179">
        <f>IF('DOE25'!H665+'DOE25'!H670=0,0,ROUND('DOE25'!H672,0))</f>
        <v>18716</v>
      </c>
    </row>
    <row r="7" spans="1:4" x14ac:dyDescent="0.2">
      <c r="B7" t="s">
        <v>705</v>
      </c>
      <c r="C7" s="179">
        <f>IF('DOE25'!I665+'DOE25'!I670=0,0,ROUND('DOE25'!I672,0))</f>
        <v>15943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10441335</v>
      </c>
      <c r="D10" s="182">
        <f>ROUND((C10/$C$28)*100,1)</f>
        <v>33.299999999999997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8221696</v>
      </c>
      <c r="D11" s="182">
        <f>ROUND((C11/$C$28)*100,1)</f>
        <v>26.2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1410414</v>
      </c>
      <c r="D12" s="182">
        <f>ROUND((C12/$C$28)*100,1)</f>
        <v>4.5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466485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2017359</v>
      </c>
      <c r="D15" s="182">
        <f t="shared" ref="D15:D27" si="0">ROUND((C15/$C$28)*100,1)</f>
        <v>6.4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947576</v>
      </c>
      <c r="D16" s="182">
        <f t="shared" si="0"/>
        <v>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1429136</v>
      </c>
      <c r="D17" s="182">
        <f t="shared" si="0"/>
        <v>4.5999999999999996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1857503</v>
      </c>
      <c r="D18" s="182">
        <f t="shared" si="0"/>
        <v>5.9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34724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2612630</v>
      </c>
      <c r="D20" s="182">
        <f t="shared" si="0"/>
        <v>8.3000000000000007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985346</v>
      </c>
      <c r="D21" s="182">
        <f t="shared" si="0"/>
        <v>3.1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106456</v>
      </c>
      <c r="D24" s="182">
        <f t="shared" si="0"/>
        <v>0.3</v>
      </c>
    </row>
    <row r="25" spans="1:4" x14ac:dyDescent="0.2">
      <c r="A25">
        <v>5120</v>
      </c>
      <c r="B25" t="s">
        <v>720</v>
      </c>
      <c r="C25" s="179">
        <f>ROUND('DOE25'!L261+'DOE25'!L342,0)</f>
        <v>376103</v>
      </c>
      <c r="D25" s="182">
        <f t="shared" si="0"/>
        <v>1.2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473295</v>
      </c>
      <c r="D27" s="182">
        <f t="shared" si="0"/>
        <v>1.5</v>
      </c>
    </row>
    <row r="28" spans="1:4" x14ac:dyDescent="0.2">
      <c r="B28" s="187" t="s">
        <v>723</v>
      </c>
      <c r="C28" s="180">
        <f>SUM(C10:C27)</f>
        <v>31380058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6867375</v>
      </c>
    </row>
    <row r="30" spans="1:4" x14ac:dyDescent="0.2">
      <c r="B30" s="187" t="s">
        <v>729</v>
      </c>
      <c r="C30" s="180">
        <f>SUM(C28:C29)</f>
        <v>38247433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330000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13575783</v>
      </c>
      <c r="D35" s="182">
        <f t="shared" ref="D35:D40" si="1">ROUND((C35/$C$41)*100,1)</f>
        <v>39.700000000000003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3102304</v>
      </c>
      <c r="D36" s="182">
        <f t="shared" si="1"/>
        <v>9.1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14518615</v>
      </c>
      <c r="D37" s="182">
        <f t="shared" si="1"/>
        <v>42.4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629237</v>
      </c>
      <c r="D38" s="182">
        <f t="shared" si="1"/>
        <v>1.8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2393952</v>
      </c>
      <c r="D39" s="182">
        <f t="shared" si="1"/>
        <v>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34219891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11195000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sqref="A1:N42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1" t="s">
        <v>767</v>
      </c>
      <c r="B2" s="292"/>
      <c r="C2" s="292"/>
      <c r="D2" s="292"/>
      <c r="E2" s="292"/>
      <c r="F2" s="297" t="str">
        <f>'DOE25'!A2</f>
        <v>Claremont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3</v>
      </c>
      <c r="B4" s="219">
        <v>23</v>
      </c>
      <c r="C4" s="281" t="s">
        <v>915</v>
      </c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19</v>
      </c>
      <c r="B6" s="219">
        <v>1</v>
      </c>
      <c r="C6" s="281" t="s">
        <v>917</v>
      </c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1" t="s">
        <v>916</v>
      </c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1" t="s">
        <v>918</v>
      </c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1" t="s">
        <v>919</v>
      </c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1" t="s">
        <v>920</v>
      </c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1" t="s">
        <v>921</v>
      </c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1" t="s">
        <v>922</v>
      </c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1" t="s">
        <v>923</v>
      </c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1" t="s">
        <v>924</v>
      </c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1"/>
      <c r="O29" s="211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1"/>
      <c r="O30" s="211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1"/>
      <c r="O31" s="211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3"/>
      <c r="O32" s="223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290"/>
      <c r="AA32" s="218"/>
      <c r="AB32" s="219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8"/>
      <c r="AO32" s="219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8"/>
      <c r="BB32" s="219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8"/>
      <c r="BO32" s="219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8"/>
      <c r="CB32" s="219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8"/>
      <c r="CO32" s="219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8"/>
      <c r="DB32" s="219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8"/>
      <c r="DO32" s="219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8"/>
      <c r="EB32" s="219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8"/>
      <c r="EO32" s="219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8"/>
      <c r="FB32" s="219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8"/>
      <c r="FO32" s="219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8"/>
      <c r="GB32" s="219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8"/>
      <c r="GO32" s="219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8"/>
      <c r="HB32" s="219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8"/>
      <c r="HO32" s="219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8"/>
      <c r="IB32" s="219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8"/>
      <c r="IO32" s="219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8"/>
      <c r="B33" s="219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1"/>
      <c r="O38" s="211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1"/>
      <c r="O39" s="211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1"/>
      <c r="O40" s="211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8"/>
      <c r="B60" s="219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8"/>
      <c r="B61" s="219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8"/>
      <c r="B62" s="219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8"/>
      <c r="B63" s="219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8"/>
      <c r="B64" s="219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8"/>
      <c r="B65" s="219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8"/>
      <c r="B66" s="219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8"/>
      <c r="B67" s="219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8"/>
      <c r="B68" s="219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8"/>
      <c r="B69" s="219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P38:Z38"/>
    <mergeCell ref="AC38:AM38"/>
    <mergeCell ref="AP38:AZ38"/>
    <mergeCell ref="BP39:BZ39"/>
    <mergeCell ref="CC39:CM39"/>
    <mergeCell ref="CP39:CZ39"/>
    <mergeCell ref="BP38:BZ38"/>
    <mergeCell ref="CC38:CM38"/>
    <mergeCell ref="P40:Z40"/>
    <mergeCell ref="IP40:IV40"/>
    <mergeCell ref="C45:M45"/>
    <mergeCell ref="IC40:IM40"/>
    <mergeCell ref="BP40:BZ40"/>
    <mergeCell ref="FC40:FM40"/>
    <mergeCell ref="FP40:FZ40"/>
    <mergeCell ref="CC40:CM40"/>
    <mergeCell ref="CP40:CZ40"/>
    <mergeCell ref="P39:Z39"/>
    <mergeCell ref="AC39:AM39"/>
    <mergeCell ref="AP39:AZ39"/>
    <mergeCell ref="HP39:HZ39"/>
    <mergeCell ref="DC40:DM40"/>
    <mergeCell ref="EP40:EZ40"/>
    <mergeCell ref="IP39:IV39"/>
    <mergeCell ref="HC32:HM32"/>
    <mergeCell ref="EP32:EZ32"/>
    <mergeCell ref="HP32:HZ32"/>
    <mergeCell ref="GC40:GM40"/>
    <mergeCell ref="GP40:GZ40"/>
    <mergeCell ref="HC40:HM40"/>
    <mergeCell ref="HP40:HZ40"/>
    <mergeCell ref="EC40:EM40"/>
    <mergeCell ref="DP40:DZ40"/>
    <mergeCell ref="EP39:EZ39"/>
    <mergeCell ref="FC39:FM39"/>
    <mergeCell ref="FP39:FZ39"/>
    <mergeCell ref="GP39:GZ39"/>
    <mergeCell ref="HP38:HZ38"/>
    <mergeCell ref="HC39:HM39"/>
    <mergeCell ref="DP39:DZ39"/>
    <mergeCell ref="EC39:EM39"/>
    <mergeCell ref="GC39:GM39"/>
    <mergeCell ref="IC38:IM38"/>
    <mergeCell ref="IP38:IV38"/>
    <mergeCell ref="IC39:IM39"/>
    <mergeCell ref="EP38:EZ38"/>
    <mergeCell ref="FC38:FM38"/>
    <mergeCell ref="FP38:FZ38"/>
    <mergeCell ref="GC38:GM38"/>
    <mergeCell ref="GP38:GZ38"/>
    <mergeCell ref="HC38:HM38"/>
    <mergeCell ref="BC32:BM32"/>
    <mergeCell ref="BC39:BM39"/>
    <mergeCell ref="BP31:BZ31"/>
    <mergeCell ref="CC31:CM31"/>
    <mergeCell ref="AC32:AM32"/>
    <mergeCell ref="AP32:AZ32"/>
    <mergeCell ref="BP32:BZ32"/>
    <mergeCell ref="AC40:AM40"/>
    <mergeCell ref="GC32:GM32"/>
    <mergeCell ref="EC32:EM32"/>
    <mergeCell ref="FC32:FM32"/>
    <mergeCell ref="BC40:BM40"/>
    <mergeCell ref="CP38:CZ38"/>
    <mergeCell ref="BC38:BM38"/>
    <mergeCell ref="DC39:DM39"/>
    <mergeCell ref="AP40:AZ40"/>
    <mergeCell ref="IP29:IV29"/>
    <mergeCell ref="C42:M42"/>
    <mergeCell ref="P30:Z30"/>
    <mergeCell ref="AC30:AM30"/>
    <mergeCell ref="AP30:AZ30"/>
    <mergeCell ref="C41:M41"/>
    <mergeCell ref="C33:M33"/>
    <mergeCell ref="HP29:HZ29"/>
    <mergeCell ref="IC29:IM29"/>
    <mergeCell ref="FP29:FZ29"/>
    <mergeCell ref="GC29:GM29"/>
    <mergeCell ref="GP29:GZ29"/>
    <mergeCell ref="HC29:HM29"/>
    <mergeCell ref="HP31:HZ31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GC31:GM31"/>
    <mergeCell ref="GP30:GZ30"/>
    <mergeCell ref="IC31:IM31"/>
    <mergeCell ref="IP31:IV31"/>
    <mergeCell ref="CP32:CZ32"/>
    <mergeCell ref="CP30:CZ30"/>
    <mergeCell ref="CC30:CM30"/>
    <mergeCell ref="BC30:BM30"/>
    <mergeCell ref="BP30:BZ30"/>
    <mergeCell ref="IC30:IM30"/>
    <mergeCell ref="HP30:HZ30"/>
    <mergeCell ref="FC30:FM30"/>
    <mergeCell ref="GP31:GZ31"/>
    <mergeCell ref="HC31:HM31"/>
    <mergeCell ref="IP30:IV30"/>
    <mergeCell ref="FP30:FZ30"/>
    <mergeCell ref="FC31:FM31"/>
    <mergeCell ref="FP31:FZ31"/>
    <mergeCell ref="CP31:CZ31"/>
    <mergeCell ref="FP32:FZ32"/>
    <mergeCell ref="EC30:EM30"/>
    <mergeCell ref="EP30:EZ30"/>
    <mergeCell ref="IC32:IM32"/>
    <mergeCell ref="IP32:IV32"/>
    <mergeCell ref="BC31:BM31"/>
    <mergeCell ref="C14:M14"/>
    <mergeCell ref="EC29:EM29"/>
    <mergeCell ref="EP29:EZ29"/>
    <mergeCell ref="FC29:FM29"/>
    <mergeCell ref="CP29:CZ29"/>
    <mergeCell ref="DP29:DZ29"/>
    <mergeCell ref="DC29:DM29"/>
    <mergeCell ref="C37:M37"/>
    <mergeCell ref="GC30:GM30"/>
    <mergeCell ref="DC30:DM30"/>
    <mergeCell ref="DP30:DZ30"/>
    <mergeCell ref="CC32:CM32"/>
    <mergeCell ref="DC32:DM32"/>
    <mergeCell ref="DP32:DZ32"/>
    <mergeCell ref="C15:M15"/>
    <mergeCell ref="C16:M16"/>
    <mergeCell ref="C17:M17"/>
    <mergeCell ref="C18:M18"/>
    <mergeCell ref="C19:M19"/>
    <mergeCell ref="BC29:BM29"/>
    <mergeCell ref="BP29:BZ29"/>
    <mergeCell ref="CC29:CM29"/>
    <mergeCell ref="P29:Z29"/>
    <mergeCell ref="AC29:AM29"/>
    <mergeCell ref="A2:E2"/>
    <mergeCell ref="C5:M5"/>
    <mergeCell ref="C6:M6"/>
    <mergeCell ref="C7:M7"/>
    <mergeCell ref="C8:M8"/>
    <mergeCell ref="C13:M13"/>
    <mergeCell ref="C9:M9"/>
    <mergeCell ref="A1:I1"/>
    <mergeCell ref="C3:M3"/>
    <mergeCell ref="C4:M4"/>
    <mergeCell ref="F2:I2"/>
    <mergeCell ref="C10:M10"/>
    <mergeCell ref="C11:M11"/>
    <mergeCell ref="C12:M12"/>
    <mergeCell ref="AP29:AZ29"/>
    <mergeCell ref="C32:M32"/>
    <mergeCell ref="C30:M30"/>
    <mergeCell ref="C31:M31"/>
    <mergeCell ref="P31:Z31"/>
    <mergeCell ref="AC31:AM31"/>
    <mergeCell ref="AP31:AZ31"/>
    <mergeCell ref="P32:Z32"/>
    <mergeCell ref="C28:M28"/>
    <mergeCell ref="C21:M21"/>
    <mergeCell ref="C22:M22"/>
    <mergeCell ref="C23:M23"/>
    <mergeCell ref="C24:M24"/>
    <mergeCell ref="C29:M29"/>
    <mergeCell ref="C25:M25"/>
    <mergeCell ref="C26:M26"/>
    <mergeCell ref="C27:M27"/>
    <mergeCell ref="C20:M20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39:M39"/>
    <mergeCell ref="C40:M40"/>
    <mergeCell ref="C46:M46"/>
    <mergeCell ref="C44:M44"/>
    <mergeCell ref="C43:M43"/>
    <mergeCell ref="C80:M80"/>
    <mergeCell ref="C81:M81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  <mergeCell ref="C76:M76"/>
    <mergeCell ref="C66:M66"/>
    <mergeCell ref="C70:M70"/>
    <mergeCell ref="A72:E72"/>
    <mergeCell ref="C73:M73"/>
    <mergeCell ref="C74:M74"/>
    <mergeCell ref="C77:M77"/>
    <mergeCell ref="C78:M78"/>
    <mergeCell ref="C79:M79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61:M61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2014-10-02T14:27:35Z</cp:lastPrinted>
  <dcterms:created xsi:type="dcterms:W3CDTF">1997-12-04T19:04:30Z</dcterms:created>
  <dcterms:modified xsi:type="dcterms:W3CDTF">2014-12-05T15:58:24Z</dcterms:modified>
</cp:coreProperties>
</file>