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8" i="1" l="1"/>
  <c r="F50" i="1"/>
  <c r="K238" i="1" l="1"/>
  <c r="F12" i="1"/>
  <c r="F472" i="1"/>
  <c r="H595" i="1"/>
  <c r="J595" i="1"/>
  <c r="F244" i="1"/>
  <c r="H468" i="1"/>
  <c r="H472" i="1"/>
  <c r="K236" i="1"/>
  <c r="I208" i="1"/>
  <c r="G244" i="1"/>
  <c r="K319" i="1"/>
  <c r="H110" i="1"/>
  <c r="H30" i="1"/>
  <c r="H23" i="1"/>
  <c r="H13" i="1"/>
  <c r="B37" i="12" l="1"/>
  <c r="C37" i="12"/>
  <c r="B39" i="12"/>
  <c r="C19" i="12"/>
  <c r="B21" i="12"/>
  <c r="B20" i="12"/>
  <c r="B19" i="12"/>
  <c r="C10" i="12"/>
  <c r="I611" i="1"/>
  <c r="G611" i="1"/>
  <c r="F611" i="1"/>
  <c r="G613" i="1"/>
  <c r="H526" i="1"/>
  <c r="G526" i="1"/>
  <c r="F526" i="1"/>
  <c r="G521" i="1"/>
  <c r="F521" i="1"/>
  <c r="H541" i="1"/>
  <c r="I541" i="1"/>
  <c r="G541" i="1"/>
  <c r="I526" i="1"/>
  <c r="G523" i="1"/>
  <c r="H523" i="1"/>
  <c r="F523" i="1"/>
  <c r="H521" i="1"/>
  <c r="F498" i="1"/>
  <c r="G473" i="1"/>
  <c r="J468" i="1"/>
  <c r="G439" i="1"/>
  <c r="F368" i="1"/>
  <c r="H360" i="1"/>
  <c r="H358" i="1"/>
  <c r="F238" i="1"/>
  <c r="H145" i="1"/>
  <c r="H155" i="1"/>
  <c r="H154" i="1"/>
  <c r="G48" i="1"/>
  <c r="F665" i="1" l="1"/>
  <c r="K360" i="1" l="1"/>
  <c r="K358" i="1"/>
  <c r="I358" i="1"/>
  <c r="G358" i="1"/>
  <c r="H207" i="1" l="1"/>
  <c r="I207" i="1"/>
  <c r="H208" i="1"/>
  <c r="G207" i="1"/>
  <c r="F207" i="1"/>
  <c r="K268" i="1"/>
  <c r="K263" i="1"/>
  <c r="I244" i="1"/>
  <c r="H244" i="1"/>
  <c r="K243" i="1"/>
  <c r="J243" i="1"/>
  <c r="I243" i="1"/>
  <c r="H243" i="1"/>
  <c r="G243" i="1"/>
  <c r="K241" i="1"/>
  <c r="J241" i="1"/>
  <c r="I241" i="1"/>
  <c r="H241" i="1"/>
  <c r="G241" i="1"/>
  <c r="F241" i="1"/>
  <c r="H240" i="1"/>
  <c r="K240" i="1"/>
  <c r="I240" i="1"/>
  <c r="G240" i="1"/>
  <c r="F240" i="1"/>
  <c r="I239" i="1"/>
  <c r="G239" i="1"/>
  <c r="F239" i="1"/>
  <c r="K239" i="1"/>
  <c r="J238" i="1"/>
  <c r="I238" i="1"/>
  <c r="H238" i="1"/>
  <c r="G238" i="1"/>
  <c r="G236" i="1"/>
  <c r="F236" i="1"/>
  <c r="J236" i="1"/>
  <c r="I236" i="1"/>
  <c r="H236" i="1"/>
  <c r="H235" i="1"/>
  <c r="I234" i="1"/>
  <c r="G234" i="1"/>
  <c r="F234" i="1"/>
  <c r="H234" i="1"/>
  <c r="J233" i="1"/>
  <c r="I233" i="1"/>
  <c r="H233" i="1"/>
  <c r="G233" i="1"/>
  <c r="F233" i="1"/>
  <c r="K261" i="1"/>
  <c r="K260" i="1"/>
  <c r="K208" i="1"/>
  <c r="G208" i="1"/>
  <c r="F208" i="1"/>
  <c r="K207" i="1"/>
  <c r="J207" i="1"/>
  <c r="J205" i="1"/>
  <c r="I205" i="1"/>
  <c r="H205" i="1"/>
  <c r="G205" i="1"/>
  <c r="F205" i="1"/>
  <c r="F204" i="1"/>
  <c r="H204" i="1"/>
  <c r="K204" i="1"/>
  <c r="I204" i="1"/>
  <c r="G204" i="1"/>
  <c r="J203" i="1"/>
  <c r="I203" i="1"/>
  <c r="H203" i="1"/>
  <c r="G203" i="1"/>
  <c r="F203" i="1"/>
  <c r="K203" i="1"/>
  <c r="K202" i="1"/>
  <c r="J202" i="1"/>
  <c r="I202" i="1"/>
  <c r="H202" i="1"/>
  <c r="G202" i="1"/>
  <c r="F202" i="1"/>
  <c r="G200" i="1"/>
  <c r="F200" i="1"/>
  <c r="K200" i="1"/>
  <c r="I198" i="1"/>
  <c r="G198" i="1"/>
  <c r="F198" i="1"/>
  <c r="J198" i="1"/>
  <c r="H198" i="1"/>
  <c r="K197" i="1"/>
  <c r="J197" i="1"/>
  <c r="I197" i="1"/>
  <c r="H197" i="1"/>
  <c r="G197" i="1"/>
  <c r="F197" i="1"/>
  <c r="F2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C115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11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6" i="10"/>
  <c r="C17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I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J545" i="1" s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1" i="1"/>
  <c r="G642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257" i="1"/>
  <c r="G271" i="1" s="1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56" i="2"/>
  <c r="E115" i="2"/>
  <c r="E103" i="2"/>
  <c r="D91" i="2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J639" i="1"/>
  <c r="J571" i="1"/>
  <c r="K571" i="1"/>
  <c r="L433" i="1"/>
  <c r="L419" i="1"/>
  <c r="I169" i="1"/>
  <c r="H169" i="1"/>
  <c r="J643" i="1"/>
  <c r="I476" i="1"/>
  <c r="H625" i="1" s="1"/>
  <c r="J625" i="1" s="1"/>
  <c r="G338" i="1"/>
  <c r="G352" i="1" s="1"/>
  <c r="F169" i="1"/>
  <c r="J140" i="1"/>
  <c r="F571" i="1"/>
  <c r="H257" i="1"/>
  <c r="H271" i="1" s="1"/>
  <c r="I552" i="1"/>
  <c r="K550" i="1"/>
  <c r="G22" i="2"/>
  <c r="K545" i="1"/>
  <c r="H552" i="1"/>
  <c r="C29" i="10"/>
  <c r="H140" i="1"/>
  <c r="L393" i="1"/>
  <c r="A13" i="12"/>
  <c r="F22" i="13"/>
  <c r="H25" i="13"/>
  <c r="C25" i="13" s="1"/>
  <c r="H571" i="1"/>
  <c r="L560" i="1"/>
  <c r="H338" i="1"/>
  <c r="H352" i="1" s="1"/>
  <c r="F338" i="1"/>
  <c r="F352" i="1" s="1"/>
  <c r="H192" i="1"/>
  <c r="C35" i="10"/>
  <c r="L309" i="1"/>
  <c r="D5" i="13"/>
  <c r="C5" i="13" s="1"/>
  <c r="E16" i="13"/>
  <c r="L570" i="1"/>
  <c r="I571" i="1"/>
  <c r="J636" i="1"/>
  <c r="G36" i="2"/>
  <c r="L565" i="1"/>
  <c r="K551" i="1"/>
  <c r="C22" i="13"/>
  <c r="C138" i="2"/>
  <c r="C16" i="13"/>
  <c r="H33" i="13"/>
  <c r="F476" i="1" l="1"/>
  <c r="H622" i="1" s="1"/>
  <c r="J622" i="1" s="1"/>
  <c r="C13" i="10"/>
  <c r="C21" i="10"/>
  <c r="J651" i="1"/>
  <c r="L247" i="1"/>
  <c r="H660" i="1" s="1"/>
  <c r="C124" i="2"/>
  <c r="C128" i="2" s="1"/>
  <c r="H662" i="1"/>
  <c r="I662" i="1" s="1"/>
  <c r="E118" i="2"/>
  <c r="E128" i="2" s="1"/>
  <c r="E145" i="2" s="1"/>
  <c r="K338" i="1"/>
  <c r="K352" i="1" s="1"/>
  <c r="J644" i="1"/>
  <c r="G645" i="1"/>
  <c r="J645" i="1" s="1"/>
  <c r="L614" i="1"/>
  <c r="J649" i="1"/>
  <c r="K598" i="1"/>
  <c r="G647" i="1" s="1"/>
  <c r="J647" i="1" s="1"/>
  <c r="I545" i="1"/>
  <c r="L544" i="1"/>
  <c r="H545" i="1"/>
  <c r="G545" i="1"/>
  <c r="F552" i="1"/>
  <c r="L524" i="1"/>
  <c r="G552" i="1"/>
  <c r="K549" i="1"/>
  <c r="K552" i="1" s="1"/>
  <c r="L529" i="1"/>
  <c r="L534" i="1"/>
  <c r="E33" i="13"/>
  <c r="D35" i="13" s="1"/>
  <c r="K503" i="1"/>
  <c r="K500" i="1"/>
  <c r="H476" i="1"/>
  <c r="H624" i="1" s="1"/>
  <c r="J624" i="1" s="1"/>
  <c r="J641" i="1"/>
  <c r="J640" i="1"/>
  <c r="F661" i="1"/>
  <c r="I661" i="1" s="1"/>
  <c r="D29" i="13"/>
  <c r="C29" i="13" s="1"/>
  <c r="D127" i="2"/>
  <c r="D128" i="2" s="1"/>
  <c r="D145" i="2" s="1"/>
  <c r="H661" i="1"/>
  <c r="F112" i="1"/>
  <c r="C81" i="2"/>
  <c r="C62" i="2"/>
  <c r="C63" i="2" s="1"/>
  <c r="D18" i="2"/>
  <c r="C18" i="10"/>
  <c r="C15" i="10"/>
  <c r="F660" i="1"/>
  <c r="H52" i="1"/>
  <c r="H619" i="1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H664" i="1"/>
  <c r="H667" i="1" s="1"/>
  <c r="C145" i="2"/>
  <c r="G104" i="2"/>
  <c r="L545" i="1"/>
  <c r="H646" i="1"/>
  <c r="J646" i="1" s="1"/>
  <c r="F664" i="1"/>
  <c r="F667" i="1" s="1"/>
  <c r="C28" i="10"/>
  <c r="D24" i="10" s="1"/>
  <c r="C104" i="2"/>
  <c r="G672" i="1"/>
  <c r="C5" i="10" s="1"/>
  <c r="I660" i="1"/>
  <c r="I664" i="1" s="1"/>
  <c r="I672" i="1" s="1"/>
  <c r="C7" i="10" s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13" i="10"/>
  <c r="D12" i="10"/>
  <c r="D11" i="10"/>
  <c r="D23" i="10"/>
  <c r="C30" i="10"/>
  <c r="D10" i="10"/>
  <c r="D25" i="10"/>
  <c r="D20" i="10"/>
  <c r="D21" i="10"/>
  <c r="D16" i="10"/>
  <c r="D18" i="10"/>
  <c r="D33" i="13"/>
  <c r="D36" i="13" s="1"/>
  <c r="D26" i="10"/>
  <c r="D19" i="10"/>
  <c r="D15" i="10"/>
  <c r="D22" i="10"/>
  <c r="D27" i="10"/>
  <c r="D17" i="10"/>
  <c r="F672" i="1"/>
  <c r="C4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<sst xmlns="http://schemas.openxmlformats.org/spreadsheetml/2006/main" count="3960" uniqueCount="917">
  <si>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</si>
  <si>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</si>
  <si>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</si>
  <si>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</si>
  <si>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</si>
  <si>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</si>
  <si>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</si>
  <si>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</si>
  <si>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</si>
  <si>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</si>
  <si>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</si>
  <si>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</si>
  <si>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</si>
  <si>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</si>
  <si>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</si>
  <si>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</si>
  <si>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</si>
  <si>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</si>
  <si>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</si>
  <si>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</si>
  <si>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</si>
  <si>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</si>
  <si>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</si>
  <si>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</si>
  <si>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</si>
  <si>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</si>
  <si>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</si>
  <si>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</si>
  <si>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</si>
  <si>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</si>
  <si>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</si>
  <si>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</si>
  <si>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</si>
  <si>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</si>
  <si>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</si>
  <si>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</si>
  <si>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</si>
  <si>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</si>
  <si>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</si>
  <si>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</si>
  <si>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</si>
  <si>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</si>
  <si>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</si>
  <si>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</si>
  <si>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</si>
  <si>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</si>
  <si>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</si>
  <si>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</si>
  <si>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</si>
  <si>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</si>
  <si>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</si>
  <si>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</si>
  <si>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</si>
  <si>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</si>
  <si>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</si>
  <si>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</si>
  <si>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</si>
  <si>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</si>
  <si>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</si>
  <si>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</si>
  <si>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</si>
  <si>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</si>
  <si>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</si>
  <si>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</si>
  <si>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</si>
  <si>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</si>
  <si>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</si>
  <si>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</si>
  <si>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</si>
  <si>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</si>
  <si>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</si>
  <si>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</si>
  <si>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</si>
  <si>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</si>
  <si>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</si>
  <si>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</si>
  <si>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</si>
  <si>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</si>
  <si>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</si>
  <si>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</si>
  <si>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</si>
  <si>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</si>
  <si>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</si>
  <si>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</si>
  <si>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</si>
  <si>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</si>
  <si>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</si>
  <si>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</si>
  <si>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</si>
  <si>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</si>
  <si>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</si>
  <si>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</si>
  <si>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</si>
  <si>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</si>
  <si>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</si>
  <si>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</si>
  <si>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</si>
  <si>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</si>
  <si>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</si>
  <si>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</si>
  <si>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</si>
  <si>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</si>
  <si>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</si>
  <si>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</si>
  <si>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</si>
  <si>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</si>
  <si>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</si>
  <si>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</si>
  <si>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</si>
  <si>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</si>
  <si>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</si>
  <si>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</si>
  <si>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</si>
  <si>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</si>
  <si>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</si>
  <si>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</si>
  <si>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</si>
  <si>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</si>
  <si>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</si>
  <si>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</si>
  <si>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</si>
  <si>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</si>
  <si>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</si>
  <si>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</si>
  <si>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</si>
  <si>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</si>
  <si>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</si>
  <si>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</si>
  <si>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</si>
  <si>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</si>
  <si>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</si>
  <si>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</si>
  <si>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</si>
  <si>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</si>
  <si>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</si>
  <si>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</si>
  <si>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</si>
  <si>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</si>
  <si>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</si>
  <si>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</si>
  <si>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</si>
  <si>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</si>
  <si>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</si>
  <si>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</si>
  <si>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</si>
  <si>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</si>
  <si>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</si>
  <si>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</si>
  <si>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</si>
  <si>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</si>
  <si>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</si>
  <si>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</si>
  <si>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</si>
  <si>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</si>
  <si>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</si>
  <si>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</si>
  <si>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</si>
  <si>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</si>
  <si>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</si>
  <si>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</si>
  <si>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</si>
  <si>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</si>
  <si>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</si>
  <si>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</si>
  <si>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</si>
  <si>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</si>
  <si>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</si>
  <si>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</si>
  <si>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</si>
  <si>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</si>
  <si>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</si>
  <si>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</si>
  <si>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</si>
  <si>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</si>
  <si>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</si>
  <si>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</si>
  <si>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</si>
  <si>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</si>
  <si>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</si>
  <si>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</si>
  <si>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</si>
  <si>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</si>
  <si>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</si>
  <si>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</si>
  <si>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</si>
  <si>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</si>
  <si>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</si>
  <si>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</si>
  <si>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</si>
  <si>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</si>
  <si>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</si>
  <si>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</si>
  <si>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</si>
  <si>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</si>
  <si>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</si>
  <si>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</si>
  <si>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</si>
  <si>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</si>
  <si>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</si>
  <si>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</si>
  <si>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</si>
  <si>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</si>
  <si>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</si>
  <si>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</si>
  <si>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</si>
  <si>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</si>
  <si>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</si>
  <si>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</si>
  <si>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</si>
  <si>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</si>
  <si>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</si>
  <si>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</si>
  <si>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</si>
  <si>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</si>
  <si>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</si>
  <si>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</si>
  <si>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</si>
  <si>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</si>
  <si>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</si>
  <si>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</si>
  <si>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</si>
  <si>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</si>
  <si>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</si>
  <si>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</si>
  <si>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</si>
  <si>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</si>
  <si>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</si>
  <si>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</si>
  <si>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</si>
  <si>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</si>
  <si>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</si>
  <si>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</si>
  <si>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</si>
  <si>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</si>
  <si>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</si>
  <si>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</si>
  <si>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</si>
  <si>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</si>
  <si>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</si>
  <si>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</si>
  <si>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</si>
  <si>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</si>
  <si>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</si>
  <si>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</si>
  <si>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</si>
  <si>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</si>
  <si>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</si>
  <si>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</si>
  <si>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</si>
  <si>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</si>
  <si>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</si>
  <si>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</si>
  <si>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</si>
  <si>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</si>
  <si>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</si>
  <si>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</si>
  <si>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</si>
  <si>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</si>
  <si>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</si>
  <si>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</si>
  <si>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</si>
  <si>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</si>
  <si>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</si>
  <si>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</si>
  <si>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</si>
  <si>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</si>
  <si>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</si>
  <si>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</si>
  <si>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</si>
  <si>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</si>
  <si>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</si>
  <si>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</si>
  <si>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</si>
  <si>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</si>
  <si>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</si>
  <si>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</si>
  <si>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</si>
  <si>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</si>
  <si>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</si>
  <si>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</si>
  <si>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</si>
  <si>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</si>
  <si>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</si>
  <si>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</si>
  <si>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</si>
  <si>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</si>
  <si>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</si>
  <si>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</si>
  <si>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</si>
  <si>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</si>
  <si>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</si>
  <si>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</si>
  <si>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</si>
  <si>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</si>
  <si>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</si>
  <si>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</si>
  <si>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</si>
  <si>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</si>
  <si>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</si>
  <si>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</si>
  <si>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</si>
  <si>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</si>
  <si>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</si>
  <si>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</si>
  <si>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</si>
  <si>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</si>
  <si>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</si>
  <si>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</si>
  <si>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</si>
  <si>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</si>
  <si>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</si>
  <si>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</si>
  <si>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</si>
  <si>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</si>
  <si>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</si>
  <si>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</si>
  <si>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</si>
  <si>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</si>
  <si>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</si>
  <si>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</si>
  <si>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</si>
  <si>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</si>
  <si>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</si>
  <si>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</si>
  <si>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</si>
  <si>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</si>
  <si>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</si>
  <si>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</si>
  <si>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</si>
  <si>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</si>
  <si>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</si>
  <si>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</si>
  <si>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</si>
  <si>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</si>
  <si>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</si>
  <si>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</si>
  <si>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</si>
  <si>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</si>
  <si>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</si>
  <si>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</si>
  <si>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</si>
  <si>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</si>
  <si>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</si>
  <si>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</si>
  <si>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</si>
  <si>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</si>
  <si>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</si>
  <si>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</si>
  <si>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</si>
  <si>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</si>
  <si>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</si>
  <si>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</si>
  <si>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</si>
  <si>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</si>
  <si>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</si>
  <si>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</si>
  <si>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</si>
  <si>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</si>
  <si>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</si>
  <si>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</si>
  <si>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</si>
  <si>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</si>
  <si>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</si>
  <si>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</si>
  <si>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</si>
  <si>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</si>
  <si>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</si>
  <si>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</si>
  <si>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</si>
  <si>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</si>
  <si>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</si>
  <si>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</si>
  <si>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</si>
  <si>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</si>
  <si>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</si>
  <si>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</si>
  <si>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</si>
  <si>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</si>
  <si>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</si>
  <si>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</si>
  <si>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</si>
  <si>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</si>
  <si>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</si>
  <si>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</si>
  <si>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</si>
  <si>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</si>
  <si>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</si>
  <si>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</si>
  <si>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</si>
  <si>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</si>
  <si>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</si>
  <si>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</si>
  <si>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</si>
  <si>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</si>
  <si>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</si>
  <si>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</si>
  <si>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</si>
  <si>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</si>
  <si>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</si>
  <si>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</si>
  <si>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</si>
  <si>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</si>
  <si>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</si>
  <si>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</si>
  <si>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</si>
  <si>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</si>
  <si>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</si>
  <si>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</si>
  <si>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</si>
  <si>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</si>
  <si>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</si>
  <si>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</si>
  <si>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</si>
  <si>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</si>
  <si>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</si>
  <si>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</si>
  <si>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</si>
  <si>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</si>
  <si>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</si>
  <si>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</si>
  <si>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</si>
  <si>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</si>
  <si>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</si>
  <si>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</si>
  <si>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</si>
  <si>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</si>
  <si>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</si>
  <si>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</si>
  <si>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</si>
  <si>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</si>
  <si>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</si>
  <si>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</si>
  <si>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</si>
  <si>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</si>
  <si>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</si>
  <si>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</si>
  <si>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</si>
  <si>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</si>
  <si>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</si>
  <si>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</si>
  <si>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</si>
  <si>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</si>
  <si>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</si>
  <si>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</si>
  <si>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</si>
  <si>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</si>
  <si>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</si>
  <si>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</si>
  <si>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</si>
  <si>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</si>
  <si>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</si>
  <si>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</si>
  <si>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</si>
  <si>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</si>
  <si>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</si>
  <si>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</si>
  <si>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</si>
  <si>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</si>
  <si>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</si>
  <si>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</si>
  <si>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</si>
  <si>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</si>
  <si>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</si>
  <si>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</si>
  <si>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</si>
  <si>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</si>
  <si>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</si>
  <si>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</si>
  <si>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</si>
  <si>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</si>
  <si>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</si>
  <si>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</si>
  <si>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</si>
  <si>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</si>
  <si>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</si>
  <si>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</si>
  <si>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</si>
  <si>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</si>
  <si>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</si>
  <si>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</si>
  <si>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</si>
  <si>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</si>
  <si>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</si>
  <si>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</si>
  <si>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</si>
  <si>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</si>
  <si>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</si>
  <si>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</si>
  <si>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</si>
  <si>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</si>
  <si>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</si>
  <si>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</si>
  <si>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</si>
  <si>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</si>
  <si>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</si>
  <si>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</si>
  <si>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</si>
  <si>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</si>
  <si>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</si>
  <si>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</si>
  <si>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</si>
  <si>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</si>
  <si>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</si>
  <si>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</si>
  <si>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</si>
  <si>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</si>
  <si>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</si>
  <si>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</si>
  <si>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</si>
  <si>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</si>
  <si>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</si>
  <si>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</si>
  <si>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</si>
  <si>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</si>
  <si>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</si>
  <si>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</si>
  <si>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</si>
  <si>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</si>
  <si>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</si>
  <si>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</si>
  <si>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</si>
  <si>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</si>
  <si>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</si>
  <si>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</si>
  <si>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</si>
  <si>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</si>
  <si>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</si>
  <si>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</si>
  <si>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</si>
  <si>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</si>
  <si>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</si>
  <si>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</si>
  <si>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</si>
  <si>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</si>
  <si>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</si>
  <si>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</si>
  <si>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</si>
  <si>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</si>
  <si>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</si>
  <si>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</si>
  <si>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</si>
  <si>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</si>
  <si>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</si>
  <si>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</si>
  <si>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</si>
  <si>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</si>
  <si>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</si>
  <si>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</si>
  <si>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</si>
  <si>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</si>
  <si>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</si>
  <si>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</si>
  <si>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</si>
  <si>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</si>
  <si>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</si>
  <si>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</si>
  <si>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</si>
  <si>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</si>
  <si>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</si>
  <si>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</si>
  <si>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</si>
  <si>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</si>
  <si>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</si>
  <si>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</si>
  <si>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</si>
  <si>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</si>
  <si>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</si>
  <si>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</si>
  <si>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</si>
  <si>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</si>
  <si>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</si>
  <si>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</si>
  <si>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</si>
  <si>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</si>
  <si>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</si>
  <si>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</si>
  <si>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</si>
  <si>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</si>
  <si>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</si>
  <si>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</si>
  <si>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</si>
  <si>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</si>
  <si>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</si>
  <si>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</si>
  <si>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</si>
  <si>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</si>
  <si>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</si>
  <si>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</si>
  <si>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</si>
  <si>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</si>
  <si>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</si>
  <si>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</si>
  <si>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</si>
  <si>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</si>
  <si>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</si>
  <si>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</si>
  <si>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</si>
  <si>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</si>
  <si>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</si>
  <si>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</si>
  <si>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</si>
  <si>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</si>
  <si>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</si>
  <si>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</si>
  <si>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</si>
  <si>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</si>
  <si>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</si>
  <si>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</si>
  <si>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</si>
  <si>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</si>
  <si>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</si>
  <si>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</si>
  <si>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</si>
  <si>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</si>
  <si>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</si>
  <si>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</si>
  <si>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</si>
  <si>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</si>
  <si>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</si>
  <si>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</si>
  <si>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</si>
  <si>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</si>
  <si>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</si>
  <si>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</si>
  <si>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</si>
  <si>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</si>
  <si>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</si>
  <si>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</si>
  <si>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</si>
  <si>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</si>
  <si>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</si>
  <si>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</si>
  <si>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</si>
  <si>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</si>
  <si>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</si>
  <si>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</si>
  <si>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</si>
  <si>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</si>
  <si>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</si>
  <si>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</si>
  <si>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</si>
  <si>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</si>
  <si>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</si>
  <si>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</si>
  <si>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</si>
  <si>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</si>
  <si>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</si>
  <si>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</si>
  <si>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</si>
  <si>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</si>
  <si>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</si>
  <si>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</si>
  <si>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</si>
  <si>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</si>
  <si>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</si>
  <si>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</si>
  <si>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</si>
  <si>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</si>
  <si>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</si>
  <si>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</si>
  <si>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</si>
  <si>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</si>
  <si>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</si>
  <si>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</si>
  <si>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</si>
  <si>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</si>
  <si>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</si>
  <si>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</si>
  <si>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</si>
  <si>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</si>
  <si>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</si>
  <si>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</si>
  <si>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</si>
  <si>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</si>
  <si>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</si>
  <si>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</si>
  <si>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</si>
  <si>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</si>
  <si>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</si>
  <si>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</si>
  <si>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</si>
  <si>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</si>
  <si>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</si>
  <si>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</si>
  <si>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</si>
  <si>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</si>
  <si>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</si>
  <si>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</si>
  <si>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</si>
  <si>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</si>
  <si>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</si>
  <si>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</si>
  <si>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</si>
  <si>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</si>
  <si>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</si>
  <si>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</si>
  <si>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</si>
  <si>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</si>
  <si>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</si>
  <si>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</si>
  <si>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</si>
  <si>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</si>
  <si>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</si>
  <si>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</si>
  <si>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</si>
  <si>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</si>
  <si>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</si>
  <si>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</si>
  <si>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</si>
  <si>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</si>
  <si>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</si>
  <si>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</si>
  <si>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</si>
  <si>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</si>
  <si>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</si>
  <si>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</si>
  <si>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</si>
  <si>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</si>
  <si>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</si>
  <si>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</si>
  <si>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</si>
  <si>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</si>
  <si>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</si>
  <si>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</si>
  <si>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</si>
  <si>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</si>
  <si>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</si>
  <si>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</si>
  <si>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</si>
  <si>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</si>
  <si>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</si>
  <si>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</si>
  <si>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</si>
  <si>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</si>
  <si>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</si>
  <si>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</si>
  <si>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</si>
  <si>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</si>
  <si>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</si>
  <si>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</si>
  <si>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</si>
  <si>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</si>
  <si>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</si>
  <si>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</si>
  <si>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</si>
  <si>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</si>
  <si>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</si>
  <si>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</si>
  <si>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</si>
  <si>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</si>
  <si>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</si>
  <si>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</si>
  <si>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</si>
  <si>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</si>
  <si>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</si>
  <si>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</si>
  <si>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</si>
  <si>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</si>
  <si>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</si>
  <si>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</si>
  <si>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</si>
  <si>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</si>
  <si>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</si>
  <si>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</si>
  <si>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</si>
  <si>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</si>
  <si>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</si>
  <si>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</si>
  <si>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</si>
  <si>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</si>
  <si>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</si>
  <si>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</si>
  <si>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</si>
  <si>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</si>
  <si>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</si>
  <si>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</si>
  <si>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</si>
  <si>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</si>
  <si>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</si>
  <si>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</si>
  <si>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</si>
  <si>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</si>
  <si>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</si>
  <si>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</si>
  <si>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</si>
  <si>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</si>
  <si>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</si>
  <si>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</si>
  <si>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</si>
  <si>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</si>
  <si>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</si>
  <si>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</si>
  <si>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</si>
  <si>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</si>
  <si>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</si>
  <si>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</si>
  <si>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</si>
  <si>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</si>
  <si>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</si>
  <si>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</si>
  <si>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</si>
  <si>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</si>
  <si>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</si>
  <si>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</si>
  <si>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</si>
  <si>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</si>
  <si>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</si>
  <si>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</si>
  <si>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</si>
  <si>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</si>
  <si>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</si>
  <si>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</si>
  <si>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</si>
  <si>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</si>
  <si>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</si>
  <si>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</si>
  <si>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</si>
  <si>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</si>
  <si>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</si>
  <si>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</si>
  <si>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</si>
  <si>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</si>
  <si>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</si>
  <si>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</si>
  <si>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</si>
  <si>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</si>
  <si>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</si>
  <si>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</si>
  <si>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</si>
  <si>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</si>
  <si>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</si>
  <si>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</si>
  <si>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</si>
  <si>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</si>
  <si>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</si>
  <si>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</si>
  <si>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</si>
  <si>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</si>
  <si>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</si>
  <si>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</si>
  <si>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</si>
  <si>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</si>
  <si>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</si>
  <si>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</si>
  <si>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</si>
  <si>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</si>
  <si>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</si>
  <si>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</si>
  <si>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</si>
  <si>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</si>
  <si>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</si>
  <si>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</si>
  <si>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</si>
  <si>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</si>
  <si>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</si>
  <si>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</si>
  <si>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</si>
  <si>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</si>
  <si>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</si>
  <si>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</si>
  <si>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</si>
  <si>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</si>
  <si>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</si>
  <si>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</si>
  <si>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</si>
  <si>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</si>
  <si>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</si>
  <si>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</si>
  <si>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</si>
  <si>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</si>
  <si>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</si>
  <si>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</si>
  <si>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</si>
  <si>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</si>
  <si>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</si>
  <si>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</si>
  <si>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</si>
  <si>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</si>
  <si>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</si>
  <si>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</si>
  <si>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</si>
  <si>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</si>
  <si>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</si>
  <si>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</si>
  <si>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</si>
  <si>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</si>
  <si>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</si>
  <si>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</si>
  <si>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</si>
  <si>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</si>
  <si>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</si>
  <si>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</si>
  <si>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</si>
  <si>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</si>
  <si>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</si>
  <si>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</si>
  <si>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</si>
  <si>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</si>
  <si>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</si>
  <si>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</si>
  <si>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</si>
  <si>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</si>
  <si>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</si>
  <si>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</si>
  <si>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</si>
  <si>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</si>
  <si>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</si>
  <si>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</si>
  <si>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</si>
  <si>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</si>
  <si>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</si>
  <si>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Colebrook School District</t>
  </si>
  <si>
    <t>06/01</t>
  </si>
  <si>
    <t>07/2016</t>
  </si>
  <si>
    <t>Primex Refund Prior Year $ 17409.32</t>
  </si>
  <si>
    <t>Health Trust refund $ 73385.68</t>
  </si>
  <si>
    <t>Other Revenue  Health Trust $ 25522.76 less payout to retirees  $ 9015.96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</si>
</sst>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0" fillId="0" borderId="11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105</v>
      </c>
      <c r="C2" s="21">
        <v>105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457595.57</v>
      </c>
      <c r="G9" s="18">
        <v>1298.45</v>
      </c>
      <c r="H9" s="18"/>
      <c r="I9" s="18"/>
      <c r="J9" s="67">
        <f>SUM(I439)</f>
        <v>529604.87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89648.74+610.08</f>
        <v>90258.82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29696.75</v>
      </c>
      <c r="G13" s="18">
        <v>4448.8599999999997</v>
      </c>
      <c r="H13" s="18">
        <f>89726.97</f>
        <v>89726.97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</v>
      </c>
      <c r="G14" s="18">
        <v>675.22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3648.44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577558.14</v>
      </c>
      <c r="G19" s="41">
        <f>SUM(G9:G18)</f>
        <v>10070.969999999999</v>
      </c>
      <c r="H19" s="41">
        <f>SUM(H9:H18)</f>
        <v>89726.97</v>
      </c>
      <c r="I19" s="41">
        <f>SUM(I9:I18)</f>
        <v>0</v>
      </c>
      <c r="J19" s="41">
        <f>SUM(J9:J18)</f>
        <v>529604.87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1839.64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f>87809.1+610.08</f>
        <v>88419.180000000008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100652.41</v>
      </c>
      <c r="G24" s="18">
        <v>1393.06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15731.11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1164.26+2934.68+160+14731.56+92.6</f>
        <v>19083.099999999999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64404.91</v>
      </c>
      <c r="G30" s="18"/>
      <c r="H30" s="18">
        <f>1917.87-610.08</f>
        <v>1307.79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199871.53</v>
      </c>
      <c r="G32" s="41">
        <f>SUM(G22:G31)</f>
        <v>3232.7</v>
      </c>
      <c r="H32" s="41">
        <f>SUM(H22:H31)</f>
        <v>89726.97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3648.44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12213.97+187077.99-196102.13</f>
        <v>3189.8299999999872</v>
      </c>
      <c r="H48" s="18"/>
      <c r="I48" s="18"/>
      <c r="J48" s="13">
        <f>SUM(I459)</f>
        <v>529604.87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3950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563914.02+6093727.6-6279955.01-3950</f>
        <v>373736.6099999994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377686.6099999994</v>
      </c>
      <c r="G51" s="41">
        <f>SUM(G35:G50)</f>
        <v>6838.2699999999877</v>
      </c>
      <c r="H51" s="41">
        <f>SUM(H35:H50)</f>
        <v>0</v>
      </c>
      <c r="I51" s="41">
        <f>SUM(I35:I50)</f>
        <v>0</v>
      </c>
      <c r="J51" s="41">
        <f>SUM(J35:J50)</f>
        <v>529604.87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577558.13999999943</v>
      </c>
      <c r="G52" s="41">
        <f>G51+G32</f>
        <v>10070.969999999987</v>
      </c>
      <c r="H52" s="41">
        <f>H51+H32</f>
        <v>89726.97</v>
      </c>
      <c r="I52" s="41">
        <f>I51+I32</f>
        <v>0</v>
      </c>
      <c r="J52" s="41">
        <f>J51+J32</f>
        <v>529604.87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1789082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1789082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2353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6075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1361429.96</f>
        <v>1361429.96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261446.39999999999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1631304.3599999999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58.28</v>
      </c>
      <c r="G96" s="18"/>
      <c r="H96" s="18"/>
      <c r="I96" s="18"/>
      <c r="J96" s="18">
        <v>5603.77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76865.64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18475.2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7565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98102.93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91455.48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21810.93</v>
      </c>
      <c r="G110" s="18"/>
      <c r="H110" s="18">
        <f>7856+610.08</f>
        <v>8466.08</v>
      </c>
      <c r="I110" s="18">
        <v>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237467.81999999998</v>
      </c>
      <c r="G111" s="41">
        <f>SUM(G96:G110)</f>
        <v>76865.64</v>
      </c>
      <c r="H111" s="41">
        <f>SUM(H96:H110)</f>
        <v>8466.08</v>
      </c>
      <c r="I111" s="41">
        <f>SUM(I96:I110)</f>
        <v>0</v>
      </c>
      <c r="J111" s="41">
        <f>SUM(J96:J110)</f>
        <v>5603.77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3657854.1799999997</v>
      </c>
      <c r="G112" s="41">
        <f>G60+G111</f>
        <v>76865.64</v>
      </c>
      <c r="H112" s="41">
        <f>H60+H79+H94+H111</f>
        <v>8466.08</v>
      </c>
      <c r="I112" s="41">
        <f>I60+I111</f>
        <v>0</v>
      </c>
      <c r="J112" s="41">
        <f>J60+J111</f>
        <v>5603.77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1870411.96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384902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2255313.96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158313.70000000001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2056.62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11311.61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554.4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2823.93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14048.43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172236.33</v>
      </c>
      <c r="G136" s="41">
        <f>SUM(G123:G135)</f>
        <v>2823.93</v>
      </c>
      <c r="H136" s="41">
        <f>SUM(H123:H135)</f>
        <v>14048.43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2427550.29</v>
      </c>
      <c r="G140" s="41">
        <f>G121+SUM(G136:G137)</f>
        <v>2823.93</v>
      </c>
      <c r="H140" s="41">
        <f>H121+SUM(H136:H139)</f>
        <v>14048.43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f>8296+3297</f>
        <v>11593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11593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149174.16+15434.81</f>
        <v>164608.97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6276.53+31235.56+5620.66</f>
        <v>43132.75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97388.42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52141.39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8323.1299999999992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8323.1299999999992</v>
      </c>
      <c r="G162" s="41">
        <f>SUM(G150:G161)</f>
        <v>97388.42</v>
      </c>
      <c r="H162" s="41">
        <f>SUM(H150:H161)</f>
        <v>259883.11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8323.1299999999992</v>
      </c>
      <c r="G169" s="41">
        <f>G147+G162+SUM(G163:G168)</f>
        <v>97388.42</v>
      </c>
      <c r="H169" s="41">
        <f>H147+H162+SUM(H163:H168)</f>
        <v>271476.11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10000</v>
      </c>
      <c r="H179" s="18"/>
      <c r="I179" s="18"/>
      <c r="J179" s="18">
        <v>46800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10000</v>
      </c>
      <c r="H183" s="41">
        <f>SUM(H179:H182)</f>
        <v>0</v>
      </c>
      <c r="I183" s="41">
        <f>SUM(I179:I182)</f>
        <v>0</v>
      </c>
      <c r="J183" s="41">
        <f>SUM(J179:J182)</f>
        <v>46800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10000</v>
      </c>
      <c r="H192" s="41">
        <f>+H183+SUM(H188:H191)</f>
        <v>0</v>
      </c>
      <c r="I192" s="41">
        <f>I177+I183+SUM(I188:I191)</f>
        <v>0</v>
      </c>
      <c r="J192" s="41">
        <f>J183</f>
        <v>46800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6093727.5999999996</v>
      </c>
      <c r="G193" s="47">
        <f>G112+G140+G169+G192</f>
        <v>187077.99</v>
      </c>
      <c r="H193" s="47">
        <f>H112+H140+H169+H192</f>
        <v>293990.62</v>
      </c>
      <c r="I193" s="47">
        <f>I112+I140+I169+I192</f>
        <v>0</v>
      </c>
      <c r="J193" s="47">
        <f>J112+J140+J192</f>
        <v>52403.770000000004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769528.88+79266+14950</f>
        <v>863744.88</v>
      </c>
      <c r="G197" s="18">
        <f>247971.4+23031.72+2101.5+59827.47+5860.3+112351.62+11224.17+2076.84+3292+328+28506</f>
        <v>496571.01999999996</v>
      </c>
      <c r="H197" s="18">
        <f>3807.9+9223.31+985.2</f>
        <v>14016.41</v>
      </c>
      <c r="I197" s="18">
        <f>517.21+1119.44+119.29+711.12+201.84+520.33+1007.99+2916.38+13321.7+96.92+531+494.58+163.62+334.29+204.51+247.9+1147.87+2327.32+1272.14+1336.42+697.28+701.52+312.4+361.2+663.88+697.41+65.85+125+125+125+226.08+342+550+1819</f>
        <v>35403.490000000005</v>
      </c>
      <c r="J197" s="18">
        <f>300.12+1069.4+979.91+294</f>
        <v>2643.43</v>
      </c>
      <c r="K197" s="18">
        <f>89+2500</f>
        <v>2589</v>
      </c>
      <c r="L197" s="19">
        <f>SUM(F197:K197)</f>
        <v>1414968.2299999997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94075.5+202173.51+29957.85+7878.85+7783.38+192.24+33899.92</f>
        <v>375961.24999999994</v>
      </c>
      <c r="G198" s="18">
        <f>49093.87+23488.54+2291.35+14001.71+1449+192.5+14.7+7283.46+2520.75+4800.39</f>
        <v>105136.27</v>
      </c>
      <c r="H198" s="18">
        <f>13840+180+98.1</f>
        <v>14118.1</v>
      </c>
      <c r="I198" s="18">
        <f>43.76</f>
        <v>43.76</v>
      </c>
      <c r="J198" s="18">
        <f>2845.39+48.96</f>
        <v>2894.35</v>
      </c>
      <c r="K198" s="18"/>
      <c r="L198" s="19">
        <f>SUM(F198:K198)</f>
        <v>498153.72999999992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3016.7+10379.52+2302+1125</f>
        <v>16823.22</v>
      </c>
      <c r="G200" s="18">
        <f>230.79+363.3+12+970.14+128.59+35+86.06+159.3</f>
        <v>1985.1799999999998</v>
      </c>
      <c r="H200" s="18"/>
      <c r="I200" s="18"/>
      <c r="J200" s="18"/>
      <c r="K200" s="18">
        <f>749</f>
        <v>749</v>
      </c>
      <c r="L200" s="19">
        <f>SUM(F200:K200)</f>
        <v>19557.400000000001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36850+11194.93+19040.23+23622.21+25525.97+13167.17+23264.66+4083.3+2615+26544.97</f>
        <v>185908.43999999997</v>
      </c>
      <c r="G202" s="18">
        <f>19665.27+2642.49+5217.93+147+2663.43+3417.04+240+181+7.66+100+100+1007.27+1779.78+71+70+312.38+8+9818.77+2143.26+4129.09+107</f>
        <v>53828.37000000001</v>
      </c>
      <c r="H202" s="18">
        <f>3035+49656.11+211.5+1092.6+6545.4+405.41+17071.63+2784.38+32374.25+4490.75+319.52</f>
        <v>117986.55000000002</v>
      </c>
      <c r="I202" s="18">
        <f>79.67+1011.71+707.78+360.64+473.03+802.67+1895.59+1562</f>
        <v>6893.09</v>
      </c>
      <c r="J202" s="18">
        <f>379.95+40512</f>
        <v>40891.949999999997</v>
      </c>
      <c r="K202" s="18">
        <f>235+2931.99+178.29</f>
        <v>3345.2799999999997</v>
      </c>
      <c r="L202" s="19">
        <f t="shared" ref="L202:L208" si="0">SUM(F202:K202)</f>
        <v>408853.68000000005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2157.83+26527.06+8424.45</f>
        <v>37109.339999999997</v>
      </c>
      <c r="G203" s="18">
        <f>219.45+736.59+3644.78+2614.44+3756.29+106</f>
        <v>11077.55</v>
      </c>
      <c r="H203" s="18">
        <f>85</f>
        <v>85</v>
      </c>
      <c r="I203" s="18">
        <f>105.45+1011+189.57+1638.17+440</f>
        <v>3384.19</v>
      </c>
      <c r="J203" s="18">
        <f>154</f>
        <v>154</v>
      </c>
      <c r="K203" s="18">
        <f>0.36+2850</f>
        <v>2850.36</v>
      </c>
      <c r="L203" s="19">
        <f t="shared" si="0"/>
        <v>54660.44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5800</f>
        <v>5800</v>
      </c>
      <c r="G204" s="18">
        <f>443.7+23</f>
        <v>466.7</v>
      </c>
      <c r="H204" s="18">
        <f>14804.95+7388.5+2339.35+1061.31+195721.41+583</f>
        <v>221898.52000000002</v>
      </c>
      <c r="I204" s="18">
        <f>554.16</f>
        <v>554.16</v>
      </c>
      <c r="J204" s="18"/>
      <c r="K204" s="18">
        <f>3815.76</f>
        <v>3815.76</v>
      </c>
      <c r="L204" s="19">
        <f t="shared" si="0"/>
        <v>232535.14000000004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70213+47140.76+12450.06</f>
        <v>129803.82</v>
      </c>
      <c r="G205" s="18">
        <f>34183.87+42+9650.83+10324.5+1449+475+400</f>
        <v>56525.200000000004</v>
      </c>
      <c r="H205" s="18">
        <f>3704.16+146.3+935.2+6277.07+1005.72+281.58+440</f>
        <v>12790.029999999999</v>
      </c>
      <c r="I205" s="18">
        <f>2429.35+114.58</f>
        <v>2543.9299999999998</v>
      </c>
      <c r="J205" s="18">
        <f>656.6+892.63</f>
        <v>1549.23</v>
      </c>
      <c r="K205" s="18">
        <v>842.95</v>
      </c>
      <c r="L205" s="19">
        <f t="shared" si="0"/>
        <v>204055.16000000003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83163.81</f>
        <v>83163.81</v>
      </c>
      <c r="G207" s="18">
        <f>53457.78+5870.37+2387+126</f>
        <v>61841.15</v>
      </c>
      <c r="H207" s="18">
        <f>43447.49+5511.04+3709.4+6554.5+43719.47+11454.8</f>
        <v>114396.7</v>
      </c>
      <c r="I207" s="18">
        <f>26264.43+70976.97+72060.22+456.35+700.65</f>
        <v>170458.62</v>
      </c>
      <c r="J207" s="18">
        <f>2450+1880.52</f>
        <v>4330.5200000000004</v>
      </c>
      <c r="K207" s="18">
        <f>207.17</f>
        <v>207.17</v>
      </c>
      <c r="L207" s="19">
        <f t="shared" si="0"/>
        <v>434397.97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9973.88</f>
        <v>9973.8799999999992</v>
      </c>
      <c r="G208" s="18">
        <f>763+559</f>
        <v>1322</v>
      </c>
      <c r="H208" s="18">
        <f>127899.8+2623.5+1136+540+1425.83+7725.2+2169.05</f>
        <v>143519.37999999998</v>
      </c>
      <c r="I208" s="18">
        <f>13.02+3494.17-86.18</f>
        <v>3421.01</v>
      </c>
      <c r="J208" s="18"/>
      <c r="K208" s="18">
        <f>401</f>
        <v>401</v>
      </c>
      <c r="L208" s="19">
        <f t="shared" si="0"/>
        <v>158637.26999999999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1708288.64</v>
      </c>
      <c r="G211" s="41">
        <f t="shared" si="1"/>
        <v>788753.44</v>
      </c>
      <c r="H211" s="41">
        <f t="shared" si="1"/>
        <v>638810.69000000006</v>
      </c>
      <c r="I211" s="41">
        <f t="shared" si="1"/>
        <v>222702.25000000003</v>
      </c>
      <c r="J211" s="41">
        <f t="shared" si="1"/>
        <v>52463.479999999996</v>
      </c>
      <c r="K211" s="41">
        <f t="shared" si="1"/>
        <v>14800.52</v>
      </c>
      <c r="L211" s="41">
        <f t="shared" si="1"/>
        <v>3425819.02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672649.98+18348.81+9000</f>
        <v>699998.79</v>
      </c>
      <c r="G233" s="18">
        <f>184793.87+1246.5+53821.41+98926.12+2788+25789.2</f>
        <v>367365.10000000003</v>
      </c>
      <c r="H233" s="18">
        <f>8437.5+2013.5+680.4+11486.22+54.8</f>
        <v>22672.42</v>
      </c>
      <c r="I233" s="18">
        <f>2580.63+4404.32+221.03+3771.64+125.54+111.59+799.96+851.46+1956.65+1614.88+2688.67+23.96+2181.38+2317.45+1376.41+2669.5+555.68+738.99+247.23+865.71+105.83+368.99</f>
        <v>30577.5</v>
      </c>
      <c r="J233" s="18">
        <f>782.67+795.69+633.33+832.85+1467.98+665.79</f>
        <v>5178.3100000000004</v>
      </c>
      <c r="K233" s="18"/>
      <c r="L233" s="19">
        <f>SUM(F233:K233)</f>
        <v>1125792.1200000001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83350+10101.52+33900.08</f>
        <v>127351.6</v>
      </c>
      <c r="G234" s="18">
        <f>29133.84+7149.02+11802.19+668+7283.46+2520.62+4800.41</f>
        <v>63357.540000000008</v>
      </c>
      <c r="H234" s="18">
        <f>835.57+6252.33+15656.6+143</f>
        <v>22887.5</v>
      </c>
      <c r="I234" s="18">
        <f>1326.94+554.36</f>
        <v>1881.3000000000002</v>
      </c>
      <c r="J234" s="18"/>
      <c r="K234" s="18"/>
      <c r="L234" s="19">
        <f>SUM(F234:K234)</f>
        <v>215477.94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15500</f>
        <v>15500</v>
      </c>
      <c r="I235" s="18"/>
      <c r="J235" s="18"/>
      <c r="K235" s="18"/>
      <c r="L235" s="19">
        <f>SUM(F235:K235)</f>
        <v>15500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19810.7+40234.98+1602+600</f>
        <v>62247.680000000008</v>
      </c>
      <c r="G236" s="18">
        <f>1515.56+2254.72+136+3200.58+2546.9+171+45.9+84.96</f>
        <v>9955.619999999999</v>
      </c>
      <c r="H236" s="18">
        <f>496.36+9944.54+4.76+296</f>
        <v>10741.660000000002</v>
      </c>
      <c r="I236" s="18">
        <f>409.43+4224.77</f>
        <v>4634.2000000000007</v>
      </c>
      <c r="J236" s="18">
        <f>2565</f>
        <v>2565</v>
      </c>
      <c r="K236" s="18">
        <f>5166+2575-400</f>
        <v>7341</v>
      </c>
      <c r="L236" s="19">
        <f>SUM(F236:K236)</f>
        <v>97485.16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54817.04+22463.5+594+26544.97+2000</f>
        <v>106419.51000000001</v>
      </c>
      <c r="G238" s="18">
        <f>21819.53+5782.17+7762.03+307+8+9818.77+2141.65+4126.12+106</f>
        <v>51871.270000000004</v>
      </c>
      <c r="H238" s="18">
        <f>810+300+22480.19+60+10938.25+798.75+88.08</f>
        <v>35475.270000000004</v>
      </c>
      <c r="I238" s="18">
        <f>71.99+500+888.59+2278</f>
        <v>3738.58</v>
      </c>
      <c r="J238" s="18">
        <f>4356.7+21373.06</f>
        <v>25729.760000000002</v>
      </c>
      <c r="K238" s="18">
        <f>659+1321.25+495+2051.19</f>
        <v>4526.4400000000005</v>
      </c>
      <c r="L238" s="19">
        <f t="shared" ref="L238:L244" si="4">SUM(F238:K238)</f>
        <v>227760.83000000005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6902+26526.94+7633.5</f>
        <v>41062.44</v>
      </c>
      <c r="G239" s="18">
        <f>528.03+977.3+5796+3641.68+2613.42+3756.28+106</f>
        <v>17418.71</v>
      </c>
      <c r="H239" s="18"/>
      <c r="I239" s="18">
        <f>720+187.7+1437.96+600</f>
        <v>2945.66</v>
      </c>
      <c r="J239" s="18"/>
      <c r="K239" s="18">
        <f>150+2850</f>
        <v>3000</v>
      </c>
      <c r="L239" s="19">
        <f t="shared" si="4"/>
        <v>64426.81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2500</f>
        <v>2500</v>
      </c>
      <c r="G240" s="18">
        <f>191.25+14</f>
        <v>205.25</v>
      </c>
      <c r="H240" s="18">
        <f>7121.9+3166.5+1357.9+454.86+83880.64</f>
        <v>95981.8</v>
      </c>
      <c r="I240" s="18">
        <f>484.04</f>
        <v>484.04</v>
      </c>
      <c r="J240" s="18"/>
      <c r="K240" s="18">
        <f>483.02</f>
        <v>483.02</v>
      </c>
      <c r="L240" s="19">
        <f t="shared" si="4"/>
        <v>99654.11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72263.1+33832.88+2750.02</f>
        <v>108846.00000000001</v>
      </c>
      <c r="G241" s="18">
        <f>14546.32+42+8521.1+10622.04+475+4236.6</f>
        <v>38443.06</v>
      </c>
      <c r="H241" s="18">
        <f>1587.51+400.8+3782.5+2439.8+120.7+1328.2</f>
        <v>9659.510000000002</v>
      </c>
      <c r="I241" s="18">
        <f>4848.28+124.44+228.84</f>
        <v>5201.5599999999995</v>
      </c>
      <c r="J241" s="18">
        <f>295.99</f>
        <v>295.99</v>
      </c>
      <c r="K241" s="18">
        <f>969</f>
        <v>969</v>
      </c>
      <c r="L241" s="19">
        <f t="shared" si="4"/>
        <v>163415.12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71477.98</v>
      </c>
      <c r="G243" s="18">
        <f>17092.05+5456.13+2456+200</f>
        <v>25204.18</v>
      </c>
      <c r="H243" s="18">
        <f>10014.83+2351.16+1748.35+3025.5+35070.94+219.55+4909.2</f>
        <v>57339.53</v>
      </c>
      <c r="I243" s="18">
        <f>12356.15+17053.18+47853.13+108.33+10.3</f>
        <v>77381.09</v>
      </c>
      <c r="J243" s="18">
        <f>2760</f>
        <v>2760</v>
      </c>
      <c r="K243" s="18">
        <f>1029.23</f>
        <v>1029.23</v>
      </c>
      <c r="L243" s="19">
        <f t="shared" si="4"/>
        <v>235192.01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305.5-109.98</f>
        <v>195.51999999999998</v>
      </c>
      <c r="G244" s="18">
        <f>23.36-13.92</f>
        <v>9.44</v>
      </c>
      <c r="H244" s="18">
        <f>54027.76+15546+7958.4</f>
        <v>77532.160000000003</v>
      </c>
      <c r="I244" s="18">
        <f>53.01+10.76</f>
        <v>63.769999999999996</v>
      </c>
      <c r="J244" s="18"/>
      <c r="K244" s="18"/>
      <c r="L244" s="19">
        <f t="shared" si="4"/>
        <v>77800.890000000014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1220099.52</v>
      </c>
      <c r="G247" s="41">
        <f t="shared" si="5"/>
        <v>573830.17000000004</v>
      </c>
      <c r="H247" s="41">
        <f t="shared" si="5"/>
        <v>347789.85000000009</v>
      </c>
      <c r="I247" s="41">
        <f t="shared" si="5"/>
        <v>126907.7</v>
      </c>
      <c r="J247" s="41">
        <f t="shared" si="5"/>
        <v>36529.06</v>
      </c>
      <c r="K247" s="41">
        <f t="shared" si="5"/>
        <v>17348.690000000002</v>
      </c>
      <c r="L247" s="41">
        <f t="shared" si="5"/>
        <v>2322504.9900000007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2928388.16</v>
      </c>
      <c r="G257" s="41">
        <f t="shared" si="8"/>
        <v>1362583.6099999999</v>
      </c>
      <c r="H257" s="41">
        <f t="shared" si="8"/>
        <v>986600.54000000015</v>
      </c>
      <c r="I257" s="41">
        <f t="shared" si="8"/>
        <v>349609.95</v>
      </c>
      <c r="J257" s="41">
        <f t="shared" si="8"/>
        <v>88992.54</v>
      </c>
      <c r="K257" s="41">
        <f t="shared" si="8"/>
        <v>32149.210000000003</v>
      </c>
      <c r="L257" s="41">
        <f t="shared" si="8"/>
        <v>5748324.0100000007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390000</f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62595</f>
        <v>62595</v>
      </c>
      <c r="L261" s="19">
        <f>SUM(F261:K261)</f>
        <v>62595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7000+3000</f>
        <v>10000</v>
      </c>
      <c r="L263" s="19">
        <f>SUM(F263:K263)</f>
        <v>10000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46800</v>
      </c>
      <c r="L266" s="19">
        <f t="shared" si="9"/>
        <v>46800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22236</f>
        <v>22236</v>
      </c>
      <c r="L268" s="19">
        <f t="shared" si="9"/>
        <v>22236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531631</v>
      </c>
      <c r="L270" s="41">
        <f t="shared" si="9"/>
        <v>531631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2928388.16</v>
      </c>
      <c r="G271" s="42">
        <f t="shared" si="11"/>
        <v>1362583.6099999999</v>
      </c>
      <c r="H271" s="42">
        <f t="shared" si="11"/>
        <v>986600.54000000015</v>
      </c>
      <c r="I271" s="42">
        <f t="shared" si="11"/>
        <v>349609.95</v>
      </c>
      <c r="J271" s="42">
        <f t="shared" si="11"/>
        <v>88992.54</v>
      </c>
      <c r="K271" s="42">
        <f t="shared" si="11"/>
        <v>563780.21</v>
      </c>
      <c r="L271" s="42">
        <f t="shared" si="11"/>
        <v>6279955.0100000007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2661.83</v>
      </c>
      <c r="J276" s="18">
        <v>1000</v>
      </c>
      <c r="K276" s="18"/>
      <c r="L276" s="19">
        <f>SUM(F276:K276)</f>
        <v>3661.83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110911.4</v>
      </c>
      <c r="G277" s="18">
        <v>54470.37</v>
      </c>
      <c r="H277" s="18">
        <v>3195.84</v>
      </c>
      <c r="I277" s="18">
        <v>9028.7800000000007</v>
      </c>
      <c r="J277" s="18">
        <v>391</v>
      </c>
      <c r="K277" s="18"/>
      <c r="L277" s="19">
        <f>SUM(F277:K277)</f>
        <v>177997.38999999998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4491.84</v>
      </c>
      <c r="G279" s="18">
        <v>711.8</v>
      </c>
      <c r="H279" s="18"/>
      <c r="I279" s="18">
        <v>4107.8900000000003</v>
      </c>
      <c r="J279" s="18">
        <v>3136</v>
      </c>
      <c r="K279" s="18">
        <v>250</v>
      </c>
      <c r="L279" s="19">
        <f>SUM(F279:K279)</f>
        <v>12697.53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7084.29</v>
      </c>
      <c r="G281" s="18">
        <v>541.95000000000005</v>
      </c>
      <c r="H281" s="18">
        <v>8881.18</v>
      </c>
      <c r="I281" s="18"/>
      <c r="J281" s="18"/>
      <c r="K281" s="18">
        <v>14048.43</v>
      </c>
      <c r="L281" s="19">
        <f t="shared" ref="L281:L287" si="12">SUM(F281:K281)</f>
        <v>30555.85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19922.169999999998</v>
      </c>
      <c r="G282" s="18">
        <v>3579.63</v>
      </c>
      <c r="H282" s="18">
        <v>15379.28</v>
      </c>
      <c r="I282" s="18">
        <v>7841.08</v>
      </c>
      <c r="J282" s="18"/>
      <c r="K282" s="18">
        <v>6901</v>
      </c>
      <c r="L282" s="19">
        <f t="shared" si="12"/>
        <v>53623.16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3020</v>
      </c>
      <c r="G283" s="18">
        <v>658.61</v>
      </c>
      <c r="H283" s="18">
        <v>111</v>
      </c>
      <c r="I283" s="18"/>
      <c r="J283" s="18"/>
      <c r="K283" s="18"/>
      <c r="L283" s="19">
        <f t="shared" si="12"/>
        <v>3789.61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5000</v>
      </c>
      <c r="L285" s="19">
        <f t="shared" si="12"/>
        <v>5000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1861</v>
      </c>
      <c r="I287" s="18"/>
      <c r="J287" s="18"/>
      <c r="K287" s="18"/>
      <c r="L287" s="19">
        <f t="shared" si="12"/>
        <v>1861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145429.69999999998</v>
      </c>
      <c r="G290" s="42">
        <f t="shared" si="13"/>
        <v>59962.36</v>
      </c>
      <c r="H290" s="42">
        <f t="shared" si="13"/>
        <v>29428.300000000003</v>
      </c>
      <c r="I290" s="42">
        <f t="shared" si="13"/>
        <v>23639.58</v>
      </c>
      <c r="J290" s="42">
        <f t="shared" si="13"/>
        <v>4527</v>
      </c>
      <c r="K290" s="42">
        <f t="shared" si="13"/>
        <v>26199.43</v>
      </c>
      <c r="L290" s="41">
        <f t="shared" si="13"/>
        <v>289186.37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0</v>
      </c>
      <c r="J300" s="18"/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194.17</v>
      </c>
      <c r="J319" s="18"/>
      <c r="K319" s="18">
        <f>4000+610.08</f>
        <v>4610.08</v>
      </c>
      <c r="L319" s="19">
        <f t="shared" ref="L319:L325" si="16">SUM(F319:K319)</f>
        <v>4804.25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194.17</v>
      </c>
      <c r="J328" s="42">
        <f t="shared" si="17"/>
        <v>0</v>
      </c>
      <c r="K328" s="42">
        <f t="shared" si="17"/>
        <v>4610.08</v>
      </c>
      <c r="L328" s="41">
        <f t="shared" si="17"/>
        <v>4804.25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145429.69999999998</v>
      </c>
      <c r="G338" s="41">
        <f t="shared" si="20"/>
        <v>59962.36</v>
      </c>
      <c r="H338" s="41">
        <f t="shared" si="20"/>
        <v>29428.300000000003</v>
      </c>
      <c r="I338" s="41">
        <f t="shared" si="20"/>
        <v>23833.75</v>
      </c>
      <c r="J338" s="41">
        <f t="shared" si="20"/>
        <v>4527</v>
      </c>
      <c r="K338" s="41">
        <f t="shared" si="20"/>
        <v>30809.510000000002</v>
      </c>
      <c r="L338" s="41">
        <f t="shared" si="20"/>
        <v>293990.62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145429.69999999998</v>
      </c>
      <c r="G352" s="41">
        <f>G338</f>
        <v>59962.36</v>
      </c>
      <c r="H352" s="41">
        <f>H338</f>
        <v>29428.300000000003</v>
      </c>
      <c r="I352" s="41">
        <f>I338</f>
        <v>23833.75</v>
      </c>
      <c r="J352" s="41">
        <f>J338</f>
        <v>4527</v>
      </c>
      <c r="K352" s="47">
        <f>K338+K351</f>
        <v>30809.510000000002</v>
      </c>
      <c r="L352" s="41">
        <f>L338+L351</f>
        <v>293990.62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>
        <f>124.22</f>
        <v>124.22</v>
      </c>
      <c r="H358" s="18">
        <f>1964.3+20282.95-876.78</f>
        <v>21370.47</v>
      </c>
      <c r="I358" s="18">
        <f>9.65+3065.57</f>
        <v>3075.2200000000003</v>
      </c>
      <c r="J358" s="18"/>
      <c r="K358" s="18">
        <f>84956.2</f>
        <v>84956.2</v>
      </c>
      <c r="L358" s="13">
        <f>SUM(F358:K358)</f>
        <v>109526.11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 t="s">
        <v>287</v>
      </c>
      <c r="G360" s="18"/>
      <c r="H360" s="18">
        <f>1238.46+8692.67+876.78</f>
        <v>10807.910000000002</v>
      </c>
      <c r="I360" s="18"/>
      <c r="J360" s="18"/>
      <c r="K360" s="18">
        <f>75768.11</f>
        <v>75768.11</v>
      </c>
      <c r="L360" s="19">
        <f>SUM(F360:K360)</f>
        <v>86576.02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124.22</v>
      </c>
      <c r="H362" s="47">
        <f t="shared" si="22"/>
        <v>32178.380000000005</v>
      </c>
      <c r="I362" s="47">
        <f t="shared" si="22"/>
        <v>3075.2200000000003</v>
      </c>
      <c r="J362" s="47">
        <f t="shared" si="22"/>
        <v>0</v>
      </c>
      <c r="K362" s="47">
        <f t="shared" si="22"/>
        <v>160724.31</v>
      </c>
      <c r="L362" s="47">
        <f t="shared" si="22"/>
        <v>196102.13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9.65</v>
      </c>
      <c r="G367" s="18"/>
      <c r="H367" s="18"/>
      <c r="I367" s="56">
        <f>SUM(F367:H367)</f>
        <v>9.65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3065.57-876.78</f>
        <v>2188.79</v>
      </c>
      <c r="G368" s="63"/>
      <c r="H368" s="63">
        <v>876.78</v>
      </c>
      <c r="I368" s="56">
        <f>SUM(F368:H368)</f>
        <v>3065.5699999999997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2198.44</v>
      </c>
      <c r="G369" s="47">
        <f>SUM(G367:G368)</f>
        <v>0</v>
      </c>
      <c r="H369" s="47">
        <f>SUM(H367:H368)</f>
        <v>876.78</v>
      </c>
      <c r="I369" s="47">
        <f>SUM(I367:I368)</f>
        <v>3075.22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46800</v>
      </c>
      <c r="H400" s="18">
        <v>5603.77</v>
      </c>
      <c r="I400" s="18"/>
      <c r="J400" s="24" t="s">
        <v>289</v>
      </c>
      <c r="K400" s="24" t="s">
        <v>289</v>
      </c>
      <c r="L400" s="56">
        <f t="shared" si="26"/>
        <v>52403.770000000004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46800</v>
      </c>
      <c r="H401" s="47">
        <f>SUM(H395:H400)</f>
        <v>5603.77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52403.770000000004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46800</v>
      </c>
      <c r="H408" s="47">
        <f>H393+H401+H407</f>
        <v>5603.77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52403.770000000004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529604.87-25000</f>
        <v>504604.87</v>
      </c>
      <c r="H439" s="18">
        <v>25000</v>
      </c>
      <c r="I439" s="56">
        <f t="shared" ref="I439:I445" si="33">SUM(F439:H439)</f>
        <v>529604.87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504604.87</v>
      </c>
      <c r="H446" s="13">
        <f>SUM(H439:H445)</f>
        <v>25000</v>
      </c>
      <c r="I446" s="13">
        <f>SUM(I439:I445)</f>
        <v>529604.87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504604.87</v>
      </c>
      <c r="H459" s="18">
        <v>25000</v>
      </c>
      <c r="I459" s="56">
        <f t="shared" si="34"/>
        <v>529604.87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504604.87</v>
      </c>
      <c r="H460" s="83">
        <f>SUM(H454:H459)</f>
        <v>25000</v>
      </c>
      <c r="I460" s="83">
        <f>SUM(I454:I459)</f>
        <v>529604.87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504604.87</v>
      </c>
      <c r="H461" s="42">
        <f>H452+H460</f>
        <v>25000</v>
      </c>
      <c r="I461" s="42">
        <f>I452+I460</f>
        <v>529604.87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563914.02</v>
      </c>
      <c r="G465" s="18">
        <v>16402.41</v>
      </c>
      <c r="H465" s="18">
        <v>0</v>
      </c>
      <c r="I465" s="18">
        <v>0</v>
      </c>
      <c r="J465" s="18">
        <v>477201.1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6093727.5999999996</v>
      </c>
      <c r="G468" s="18">
        <v>187077.99</v>
      </c>
      <c r="H468" s="18">
        <f>293380.54+610.08</f>
        <v>293990.62</v>
      </c>
      <c r="I468" s="18"/>
      <c r="J468" s="18">
        <f>46800+5603.77</f>
        <v>52403.770000000004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6093727.5999999996</v>
      </c>
      <c r="G470" s="53">
        <f>SUM(G468:G469)</f>
        <v>187077.99</v>
      </c>
      <c r="H470" s="53">
        <f>SUM(H468:H469)</f>
        <v>293990.62</v>
      </c>
      <c r="I470" s="53">
        <f>SUM(I468:I469)</f>
        <v>0</v>
      </c>
      <c r="J470" s="53">
        <f>SUM(J468:J469)</f>
        <v>52403.770000000004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6279955.01</f>
        <v>6279955.0099999998</v>
      </c>
      <c r="G472" s="18">
        <v>196102.13</v>
      </c>
      <c r="H472" s="18">
        <f>293380.54+610.08</f>
        <v>293990.62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f>965.41-195-540+309.59</f>
        <v>540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6279955.0099999998</v>
      </c>
      <c r="G474" s="53">
        <f>SUM(G472:G473)</f>
        <v>196642.13</v>
      </c>
      <c r="H474" s="53">
        <f>SUM(H472:H473)</f>
        <v>293990.62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377686.6099999994</v>
      </c>
      <c r="G476" s="53">
        <f>(G465+G470)- G474</f>
        <v>6838.2699999999895</v>
      </c>
      <c r="H476" s="53">
        <f>(H465+H470)- H474</f>
        <v>0</v>
      </c>
      <c r="I476" s="53">
        <f>(I465+I470)- I474</f>
        <v>0</v>
      </c>
      <c r="J476" s="53">
        <f>(J465+J470)- J474</f>
        <v>529604.87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5840000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1560000</v>
      </c>
      <c r="G495" s="18"/>
      <c r="H495" s="18"/>
      <c r="I495" s="18"/>
      <c r="J495" s="18"/>
      <c r="K495" s="53">
        <f>SUM(F495:J495)</f>
        <v>1560000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/>
      <c r="H497" s="18"/>
      <c r="I497" s="18"/>
      <c r="J497" s="18"/>
      <c r="K497" s="53">
        <f t="shared" si="35"/>
        <v>390000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1560000-390000</f>
        <v>1170000</v>
      </c>
      <c r="G498" s="204"/>
      <c r="H498" s="204"/>
      <c r="I498" s="204"/>
      <c r="J498" s="204"/>
      <c r="K498" s="205">
        <f t="shared" si="35"/>
        <v>1170000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81510</v>
      </c>
      <c r="G499" s="18"/>
      <c r="H499" s="18"/>
      <c r="I499" s="18"/>
      <c r="J499" s="18"/>
      <c r="K499" s="53">
        <f t="shared" si="35"/>
        <v>81510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1251510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1251510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/>
      <c r="H501" s="204"/>
      <c r="I501" s="204"/>
      <c r="J501" s="204"/>
      <c r="K501" s="205">
        <f t="shared" si="35"/>
        <v>390000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45045</v>
      </c>
      <c r="G502" s="18"/>
      <c r="H502" s="18"/>
      <c r="I502" s="18"/>
      <c r="J502" s="18"/>
      <c r="K502" s="53">
        <f t="shared" si="35"/>
        <v>45045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435045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435045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94075.5+232131.36+7878.85+7783.38+33899.92+7136+19124.5</f>
        <v>402029.50999999995</v>
      </c>
      <c r="G521" s="18">
        <f>49093.87+25779.89+14001.71+1449+192.5+7283.46+2520.75+4800.39+9818.364+2008.93+2708.08+79</f>
        <v>119735.944</v>
      </c>
      <c r="H521" s="18">
        <f>13840+180+98.1</f>
        <v>14118.1</v>
      </c>
      <c r="I521" s="18">
        <v>43.76</v>
      </c>
      <c r="J521" s="18">
        <v>2845.39</v>
      </c>
      <c r="K521" s="18"/>
      <c r="L521" s="88">
        <f>SUM(F521:K521)</f>
        <v>538772.70400000003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83350+10101.52</f>
        <v>93451.520000000004</v>
      </c>
      <c r="G523" s="18">
        <f>29133.84+7149.02+11802.19+668</f>
        <v>48753.05</v>
      </c>
      <c r="H523" s="18">
        <f>835.57+6252.33+15656.6+143</f>
        <v>22887.5</v>
      </c>
      <c r="I523" s="18"/>
      <c r="J523" s="18"/>
      <c r="K523" s="18"/>
      <c r="L523" s="88">
        <f>SUM(F523:K523)</f>
        <v>165092.07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495481.02999999997</v>
      </c>
      <c r="G524" s="108">
        <f t="shared" ref="G524:L524" si="36">SUM(G521:G523)</f>
        <v>168488.99400000001</v>
      </c>
      <c r="H524" s="108">
        <f t="shared" si="36"/>
        <v>37005.599999999999</v>
      </c>
      <c r="I524" s="108">
        <f t="shared" si="36"/>
        <v>43.76</v>
      </c>
      <c r="J524" s="108">
        <f t="shared" si="36"/>
        <v>2845.39</v>
      </c>
      <c r="K524" s="108">
        <f t="shared" si="36"/>
        <v>0</v>
      </c>
      <c r="L524" s="89">
        <f t="shared" si="36"/>
        <v>703864.77399999998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19040.23+25525.97+23264.66+7084.29</f>
        <v>74915.149999999994</v>
      </c>
      <c r="G526" s="18">
        <f>3417.04+181+100+1779.78+70+541.95</f>
        <v>6089.7699999999995</v>
      </c>
      <c r="H526" s="18">
        <f>16577+6545.4+405.41+17071.63+2640</f>
        <v>43239.44</v>
      </c>
      <c r="I526" s="18">
        <f>707.78+360.64+379.95+473.03</f>
        <v>1921.4</v>
      </c>
      <c r="J526" s="18"/>
      <c r="K526" s="18">
        <v>235</v>
      </c>
      <c r="L526" s="88">
        <f>SUM(F526:K526)</f>
        <v>126400.76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4144</v>
      </c>
      <c r="I528" s="18"/>
      <c r="J528" s="18"/>
      <c r="K528" s="18"/>
      <c r="L528" s="88">
        <f>SUM(F528:K528)</f>
        <v>4144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74915.149999999994</v>
      </c>
      <c r="G529" s="89">
        <f t="shared" ref="G529:L529" si="37">SUM(G526:G528)</f>
        <v>6089.7699999999995</v>
      </c>
      <c r="H529" s="89">
        <f t="shared" si="37"/>
        <v>47383.44</v>
      </c>
      <c r="I529" s="89">
        <f t="shared" si="37"/>
        <v>1921.4</v>
      </c>
      <c r="J529" s="89">
        <f t="shared" si="37"/>
        <v>0</v>
      </c>
      <c r="K529" s="89">
        <f t="shared" si="37"/>
        <v>235</v>
      </c>
      <c r="L529" s="89">
        <f t="shared" si="37"/>
        <v>130544.76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45091</v>
      </c>
      <c r="I531" s="18"/>
      <c r="J531" s="18"/>
      <c r="K531" s="18">
        <v>1000</v>
      </c>
      <c r="L531" s="88">
        <f>SUM(F531:K531)</f>
        <v>46091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11273</v>
      </c>
      <c r="I533" s="18"/>
      <c r="J533" s="18"/>
      <c r="K533" s="18"/>
      <c r="L533" s="88">
        <f>SUM(F533:K533)</f>
        <v>11273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56364</v>
      </c>
      <c r="I534" s="89">
        <f t="shared" si="38"/>
        <v>0</v>
      </c>
      <c r="J534" s="89">
        <f t="shared" si="38"/>
        <v>0</v>
      </c>
      <c r="K534" s="89">
        <f t="shared" si="38"/>
        <v>1000</v>
      </c>
      <c r="L534" s="89">
        <f t="shared" si="38"/>
        <v>57364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9973.8799999999992</v>
      </c>
      <c r="G541" s="18">
        <f>763+559</f>
        <v>1322</v>
      </c>
      <c r="H541" s="18">
        <f>1136+540+2623.5</f>
        <v>4299.5</v>
      </c>
      <c r="I541" s="18">
        <f>13.02+3494.17</f>
        <v>3507.19</v>
      </c>
      <c r="J541" s="18">
        <v>401</v>
      </c>
      <c r="K541" s="18"/>
      <c r="L541" s="88">
        <f>SUM(F541:K541)</f>
        <v>19503.57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9973.8799999999992</v>
      </c>
      <c r="G544" s="193">
        <f t="shared" ref="G544:L544" si="40">SUM(G541:G543)</f>
        <v>1322</v>
      </c>
      <c r="H544" s="193">
        <f t="shared" si="40"/>
        <v>4299.5</v>
      </c>
      <c r="I544" s="193">
        <f t="shared" si="40"/>
        <v>3507.19</v>
      </c>
      <c r="J544" s="193">
        <f t="shared" si="40"/>
        <v>401</v>
      </c>
      <c r="K544" s="193">
        <f t="shared" si="40"/>
        <v>0</v>
      </c>
      <c r="L544" s="193">
        <f t="shared" si="40"/>
        <v>19503.57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580370.05999999994</v>
      </c>
      <c r="G545" s="89">
        <f t="shared" ref="G545:L545" si="41">G524+G529+G534+G539+G544</f>
        <v>175900.764</v>
      </c>
      <c r="H545" s="89">
        <f t="shared" si="41"/>
        <v>145052.54</v>
      </c>
      <c r="I545" s="89">
        <f t="shared" si="41"/>
        <v>5472.35</v>
      </c>
      <c r="J545" s="89">
        <f t="shared" si="41"/>
        <v>3246.39</v>
      </c>
      <c r="K545" s="89">
        <f t="shared" si="41"/>
        <v>1235</v>
      </c>
      <c r="L545" s="89">
        <f t="shared" si="41"/>
        <v>911277.10399999993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538772.70400000003</v>
      </c>
      <c r="G549" s="87">
        <f>L526</f>
        <v>126400.76</v>
      </c>
      <c r="H549" s="87">
        <f>L531</f>
        <v>46091</v>
      </c>
      <c r="I549" s="87">
        <f>L536</f>
        <v>0</v>
      </c>
      <c r="J549" s="87">
        <f>L541</f>
        <v>19503.57</v>
      </c>
      <c r="K549" s="87">
        <f>SUM(F549:J549)</f>
        <v>730768.03399999999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165092.07</v>
      </c>
      <c r="G551" s="87">
        <f>L528</f>
        <v>4144</v>
      </c>
      <c r="H551" s="87">
        <f>L533</f>
        <v>11273</v>
      </c>
      <c r="I551" s="87">
        <f>L538</f>
        <v>0</v>
      </c>
      <c r="J551" s="87">
        <f>L543</f>
        <v>0</v>
      </c>
      <c r="K551" s="87">
        <f>SUM(F551:J551)</f>
        <v>180509.07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703864.77399999998</v>
      </c>
      <c r="G552" s="89">
        <f t="shared" si="42"/>
        <v>130544.76</v>
      </c>
      <c r="H552" s="89">
        <f t="shared" si="42"/>
        <v>57364</v>
      </c>
      <c r="I552" s="89">
        <f t="shared" si="42"/>
        <v>0</v>
      </c>
      <c r="J552" s="89">
        <f t="shared" si="42"/>
        <v>19503.57</v>
      </c>
      <c r="K552" s="89">
        <f t="shared" si="42"/>
        <v>911277.10400000005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13840</v>
      </c>
      <c r="G579" s="18"/>
      <c r="H579" s="18">
        <v>6252.33</v>
      </c>
      <c r="I579" s="87">
        <f t="shared" si="47"/>
        <v>20092.330000000002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180</v>
      </c>
      <c r="G582" s="18"/>
      <c r="H582" s="18">
        <v>15656.6</v>
      </c>
      <c r="I582" s="87">
        <f t="shared" si="47"/>
        <v>15836.6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98.1</v>
      </c>
      <c r="G583" s="18"/>
      <c r="H583" s="18"/>
      <c r="I583" s="87">
        <f t="shared" si="47"/>
        <v>98.1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127899.8</v>
      </c>
      <c r="I591" s="18"/>
      <c r="J591" s="18">
        <v>54027.76</v>
      </c>
      <c r="K591" s="104">
        <f t="shared" ref="K591:K597" si="48">SUM(H591:J591)</f>
        <v>181927.56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19503.57</v>
      </c>
      <c r="I592" s="18"/>
      <c r="J592" s="18"/>
      <c r="K592" s="104">
        <f t="shared" si="48"/>
        <v>19503.57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1425.83</v>
      </c>
      <c r="I594" s="18"/>
      <c r="J594" s="18">
        <v>15546</v>
      </c>
      <c r="K594" s="104">
        <f t="shared" si="48"/>
        <v>16971.830000000002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9894.25-86.18</f>
        <v>9808.07</v>
      </c>
      <c r="I595" s="18"/>
      <c r="J595" s="18">
        <f>8351.03-109.98-13.92</f>
        <v>8227.130000000001</v>
      </c>
      <c r="K595" s="104">
        <f t="shared" si="48"/>
        <v>18035.2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158637.26999999999</v>
      </c>
      <c r="I598" s="108">
        <f>SUM(I591:I597)</f>
        <v>0</v>
      </c>
      <c r="J598" s="108">
        <f>SUM(J591:J597)</f>
        <v>77800.890000000014</v>
      </c>
      <c r="K598" s="108">
        <f>SUM(K591:K597)</f>
        <v>236438.16000000003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56990.48</v>
      </c>
      <c r="I604" s="18"/>
      <c r="J604" s="18">
        <v>36529.06</v>
      </c>
      <c r="K604" s="104">
        <f>SUM(H604:J604)</f>
        <v>93519.540000000008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56990.48</v>
      </c>
      <c r="I605" s="108">
        <f>SUM(I602:I604)</f>
        <v>0</v>
      </c>
      <c r="J605" s="108">
        <f>SUM(J602:J604)</f>
        <v>36529.06</v>
      </c>
      <c r="K605" s="108">
        <f>SUM(K602:K604)</f>
        <v>93519.540000000008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1125+2600</f>
        <v>3725</v>
      </c>
      <c r="G611" s="18">
        <f>86.06+159.3+853.84+264.22+368.16</f>
        <v>1731.5800000000002</v>
      </c>
      <c r="H611" s="18"/>
      <c r="I611" s="18">
        <f>951.97+3155.92</f>
        <v>4107.8900000000003</v>
      </c>
      <c r="J611" s="18">
        <v>3136</v>
      </c>
      <c r="K611" s="18">
        <v>250</v>
      </c>
      <c r="L611" s="88">
        <f>SUM(F611:K611)</f>
        <v>12950.470000000001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600</v>
      </c>
      <c r="G613" s="18">
        <f>45.9+84.96</f>
        <v>130.85999999999999</v>
      </c>
      <c r="H613" s="18"/>
      <c r="I613" s="18"/>
      <c r="J613" s="18"/>
      <c r="K613" s="18"/>
      <c r="L613" s="88">
        <f>SUM(F613:K613)</f>
        <v>730.86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4325</v>
      </c>
      <c r="G614" s="108">
        <f t="shared" si="49"/>
        <v>1862.44</v>
      </c>
      <c r="H614" s="108">
        <f t="shared" si="49"/>
        <v>0</v>
      </c>
      <c r="I614" s="108">
        <f t="shared" si="49"/>
        <v>4107.8900000000003</v>
      </c>
      <c r="J614" s="108">
        <f t="shared" si="49"/>
        <v>3136</v>
      </c>
      <c r="K614" s="108">
        <f t="shared" si="49"/>
        <v>250</v>
      </c>
      <c r="L614" s="89">
        <f t="shared" si="49"/>
        <v>13681.330000000002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577558.14</v>
      </c>
      <c r="H617" s="109">
        <f>SUM(F52)</f>
        <v>577558.13999999943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10070.969999999999</v>
      </c>
      <c r="H618" s="109">
        <f>SUM(G52)</f>
        <v>10070.969999999987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89726.97</v>
      </c>
      <c r="H619" s="109">
        <f>SUM(H52)</f>
        <v>89726.97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529604.87</v>
      </c>
      <c r="H621" s="109">
        <f>SUM(J52)</f>
        <v>529604.87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377686.6099999994</v>
      </c>
      <c r="H622" s="109">
        <f>F476</f>
        <v>377686.6099999994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6838.2699999999877</v>
      </c>
      <c r="H623" s="109">
        <f>G476</f>
        <v>6838.2699999999895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529604.87</v>
      </c>
      <c r="H626" s="109">
        <f>J476</f>
        <v>529604.87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6093727.5999999996</v>
      </c>
      <c r="H627" s="104">
        <f>SUM(F468)</f>
        <v>6093727.5999999996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187077.99</v>
      </c>
      <c r="H628" s="104">
        <f>SUM(G468)</f>
        <v>187077.99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293990.62</v>
      </c>
      <c r="H629" s="104">
        <f>SUM(H468)</f>
        <v>293990.62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52403.770000000004</v>
      </c>
      <c r="H631" s="104">
        <f>SUM(J468)</f>
        <v>52403.770000000004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6279955.0100000007</v>
      </c>
      <c r="H632" s="104">
        <f>SUM(F472)</f>
        <v>6279955.0099999998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293990.62</v>
      </c>
      <c r="H633" s="104">
        <f>SUM(H472)</f>
        <v>293990.62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3075.2200000000003</v>
      </c>
      <c r="H634" s="104">
        <f>I369</f>
        <v>3075.22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196102.13</v>
      </c>
      <c r="H635" s="104">
        <f>SUM(G472)</f>
        <v>196102.13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52403.770000000004</v>
      </c>
      <c r="H637" s="164">
        <f>SUM(J468)</f>
        <v>52403.770000000004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504604.87</v>
      </c>
      <c r="H640" s="104">
        <f>SUM(G461)</f>
        <v>504604.87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25000</v>
      </c>
      <c r="H641" s="104">
        <f>SUM(H461)</f>
        <v>25000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529604.87</v>
      </c>
      <c r="H642" s="104">
        <f>SUM(I461)</f>
        <v>529604.87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5603.77</v>
      </c>
      <c r="H644" s="104">
        <f>H408</f>
        <v>5603.77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46800</v>
      </c>
      <c r="H645" s="104">
        <f>G408</f>
        <v>46800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52403.770000000004</v>
      </c>
      <c r="H646" s="104">
        <f>L408</f>
        <v>52403.770000000004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236438.16000000003</v>
      </c>
      <c r="H647" s="104">
        <f>L208+L226+L244</f>
        <v>236438.16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93519.540000000008</v>
      </c>
      <c r="H648" s="104">
        <f>(J257+J338)-(J255+J336)</f>
        <v>93519.54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158637.26999999999</v>
      </c>
      <c r="H649" s="104">
        <f>H598</f>
        <v>158637.26999999999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77800.890000000014</v>
      </c>
      <c r="H651" s="104">
        <f>J598</f>
        <v>77800.890000000014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10000</v>
      </c>
      <c r="H652" s="104">
        <f>K263+K345</f>
        <v>10000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46800</v>
      </c>
      <c r="H655" s="104">
        <f>K266+K347</f>
        <v>46800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3824531.5</v>
      </c>
      <c r="G660" s="19">
        <f>(L229+L309+L359)</f>
        <v>0</v>
      </c>
      <c r="H660" s="19">
        <f>(L247+L328+L360)</f>
        <v>2413885.2600000007</v>
      </c>
      <c r="I660" s="19">
        <f>SUM(F660:H660)</f>
        <v>6238416.7600000007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42930.663434713329</v>
      </c>
      <c r="G661" s="19">
        <f>(L359/IF(SUM(L358:L360)=0,1,SUM(L358:L360))*(SUM(G97:G110)))</f>
        <v>0</v>
      </c>
      <c r="H661" s="19">
        <f>(L360/IF(SUM(L358:L360)=0,1,SUM(L358:L360))*(SUM(G97:G110)))</f>
        <v>33934.97656528667</v>
      </c>
      <c r="I661" s="19">
        <f>SUM(F661:H661)</f>
        <v>76865.64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160498.26999999999</v>
      </c>
      <c r="G662" s="19">
        <f>(L226+L306)-(J226+J306)</f>
        <v>0</v>
      </c>
      <c r="H662" s="19">
        <f>(L244+L325)-(J244+J325)</f>
        <v>77800.890000000014</v>
      </c>
      <c r="I662" s="19">
        <f>SUM(F662:H662)</f>
        <v>238299.16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84059.05</v>
      </c>
      <c r="G663" s="199">
        <f>SUM(G575:G587)+SUM(I602:I604)+L612</f>
        <v>0</v>
      </c>
      <c r="H663" s="199">
        <f>SUM(H575:H587)+SUM(J602:J604)+L613</f>
        <v>59168.85</v>
      </c>
      <c r="I663" s="19">
        <f>SUM(F663:H663)</f>
        <v>143227.9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3537043.5165652866</v>
      </c>
      <c r="G664" s="19">
        <f>G660-SUM(G661:G663)</f>
        <v>0</v>
      </c>
      <c r="H664" s="19">
        <f>H660-SUM(H661:H663)</f>
        <v>2242980.543434714</v>
      </c>
      <c r="I664" s="19">
        <f>I660-SUM(I661:I663)</f>
        <v>5780024.0600000005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232.9+36.58+4.43</f>
        <v>273.91000000000003</v>
      </c>
      <c r="G665" s="248"/>
      <c r="H665" s="248">
        <v>118.16</v>
      </c>
      <c r="I665" s="19">
        <f>SUM(F665:H665)</f>
        <v>392.07000000000005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12913.16</v>
      </c>
      <c r="G667" s="19" t="e">
        <f>ROUND(G664/G665,2)</f>
        <v>#DIV/0!</v>
      </c>
      <c r="H667" s="19">
        <f>ROUND(H664/H665,2)</f>
        <v>18982.57</v>
      </c>
      <c r="I667" s="19">
        <f>ROUND(I664/I665,2)</f>
        <v>14742.33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-0.61</v>
      </c>
      <c r="I670" s="19">
        <f>SUM(F670:H670)</f>
        <v>-0.61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12913.16</v>
      </c>
      <c r="G672" s="19" t="e">
        <f>ROUND((G664+G669)/(G665+G670),2)</f>
        <v>#DIV/0!</v>
      </c>
      <c r="H672" s="19">
        <f>ROUND((H664+H669)/(H665+H670),2)</f>
        <v>19081.080000000002</v>
      </c>
      <c r="I672" s="19">
        <f>ROUND((I664+I669)/(I665+I670),2)</f>
        <v>14765.3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Colebrook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1563743.67</v>
      </c>
      <c r="C9" s="229">
        <f>'DOE25'!G197+'DOE25'!G215+'DOE25'!G233+'DOE25'!G276+'DOE25'!G295+'DOE25'!G314</f>
        <v>863936.12</v>
      </c>
    </row>
    <row r="10" spans="1:3" x14ac:dyDescent="0.2">
      <c r="A10" t="s">
        <v>779</v>
      </c>
      <c r="B10" s="240">
        <v>1521444.86</v>
      </c>
      <c r="C10" s="240">
        <f>455796.99+3348+119509.18+222501.91+2076.84+6408+54295.2-1434.87-1872.89</f>
        <v>860628.35999999987</v>
      </c>
    </row>
    <row r="11" spans="1:3" x14ac:dyDescent="0.2">
      <c r="A11" t="s">
        <v>780</v>
      </c>
      <c r="B11" s="240">
        <v>18348.810000000001</v>
      </c>
      <c r="C11" s="240">
        <v>1434.87</v>
      </c>
    </row>
    <row r="12" spans="1:3" x14ac:dyDescent="0.2">
      <c r="A12" t="s">
        <v>781</v>
      </c>
      <c r="B12" s="240">
        <v>23950</v>
      </c>
      <c r="C12" s="240">
        <v>1872.89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1563743.6700000002</v>
      </c>
      <c r="C13" s="231">
        <f>SUM(C10:C12)</f>
        <v>863936.11999999988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614224.25</v>
      </c>
      <c r="C18" s="229">
        <f>'DOE25'!G198+'DOE25'!G216+'DOE25'!G234+'DOE25'!G277+'DOE25'!G296+'DOE25'!G315</f>
        <v>222964.18</v>
      </c>
    </row>
    <row r="19" spans="1:3" x14ac:dyDescent="0.2">
      <c r="A19" t="s">
        <v>779</v>
      </c>
      <c r="B19" s="240">
        <f>177425.5+67800+63348.9+19124.5</f>
        <v>327698.90000000002</v>
      </c>
      <c r="C19" s="240">
        <f>9818.64+2008.93+2708.08+79+24365.28+6266.18+8970.26+254+78227.71+32928.91+25803.9+2117+192.5+14566.92+5041.37+9600.8-21782.53-623.72+14.7</f>
        <v>200557.93000000002</v>
      </c>
    </row>
    <row r="20" spans="1:3" x14ac:dyDescent="0.2">
      <c r="A20" t="s">
        <v>780</v>
      </c>
      <c r="B20" s="240">
        <f>242232.88+7878.85+21302+7136</f>
        <v>278549.73</v>
      </c>
      <c r="C20" s="240">
        <v>21782.53</v>
      </c>
    </row>
    <row r="21" spans="1:3" x14ac:dyDescent="0.2">
      <c r="A21" t="s">
        <v>781</v>
      </c>
      <c r="B21" s="240">
        <f>7783.38+192.24</f>
        <v>7975.62</v>
      </c>
      <c r="C21" s="240">
        <v>623.72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614224.25</v>
      </c>
      <c r="C22" s="231">
        <f>SUM(C19:C21)</f>
        <v>222964.18000000002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83562.740000000005</v>
      </c>
      <c r="C36" s="235">
        <f>'DOE25'!G200+'DOE25'!G218+'DOE25'!G236+'DOE25'!G279+'DOE25'!G298+'DOE25'!G317</f>
        <v>12652.599999999999</v>
      </c>
    </row>
    <row r="37" spans="1:3" x14ac:dyDescent="0.2">
      <c r="A37" t="s">
        <v>779</v>
      </c>
      <c r="B37" s="240">
        <f>23827.4+1725+2638</f>
        <v>28190.400000000001</v>
      </c>
      <c r="C37" s="240">
        <f>131.96+244.26+4170.72+2675.49+206+264.22+368.16+261.64</f>
        <v>8322.4500000000007</v>
      </c>
    </row>
    <row r="38" spans="1:3" x14ac:dyDescent="0.2">
      <c r="A38" t="s">
        <v>780</v>
      </c>
      <c r="B38" s="240">
        <v>853.84</v>
      </c>
      <c r="C38" s="240">
        <v>66.77</v>
      </c>
    </row>
    <row r="39" spans="1:3" x14ac:dyDescent="0.2">
      <c r="A39" t="s">
        <v>781</v>
      </c>
      <c r="B39" s="240">
        <f>50614.5+3904</f>
        <v>54518.5</v>
      </c>
      <c r="C39" s="240">
        <v>4263.38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83562.740000000005</v>
      </c>
      <c r="C40" s="231">
        <f>SUM(C37:C39)</f>
        <v>12652.600000000002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Colebrook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3386934.5799999996</v>
      </c>
      <c r="D5" s="20">
        <f>SUM('DOE25'!L197:L200)+SUM('DOE25'!L215:L218)+SUM('DOE25'!L233:L236)-F5-G5</f>
        <v>3362974.4899999998</v>
      </c>
      <c r="E5" s="243"/>
      <c r="F5" s="255">
        <f>SUM('DOE25'!J197:J200)+SUM('DOE25'!J215:J218)+SUM('DOE25'!J233:J236)</f>
        <v>13281.09</v>
      </c>
      <c r="G5" s="53">
        <f>SUM('DOE25'!K197:K200)+SUM('DOE25'!K215:K218)+SUM('DOE25'!K233:K236)</f>
        <v>10679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636614.51000000013</v>
      </c>
      <c r="D6" s="20">
        <f>'DOE25'!L202+'DOE25'!L220+'DOE25'!L238-F6-G6</f>
        <v>562121.08000000019</v>
      </c>
      <c r="E6" s="243"/>
      <c r="F6" s="255">
        <f>'DOE25'!J202+'DOE25'!J220+'DOE25'!J238</f>
        <v>66621.709999999992</v>
      </c>
      <c r="G6" s="53">
        <f>'DOE25'!K202+'DOE25'!K220+'DOE25'!K238</f>
        <v>7871.72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119087.25</v>
      </c>
      <c r="D7" s="20">
        <f>'DOE25'!L203+'DOE25'!L221+'DOE25'!L239-F7-G7</f>
        <v>113082.89</v>
      </c>
      <c r="E7" s="243"/>
      <c r="F7" s="255">
        <f>'DOE25'!J203+'DOE25'!J221+'DOE25'!J239</f>
        <v>154</v>
      </c>
      <c r="G7" s="53">
        <f>'DOE25'!K203+'DOE25'!K221+'DOE25'!K239</f>
        <v>5850.3600000000006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187518.94000000003</v>
      </c>
      <c r="D8" s="243"/>
      <c r="E8" s="20">
        <f>'DOE25'!L204+'DOE25'!L222+'DOE25'!L240-F8-G8-D9-D11</f>
        <v>183220.16000000003</v>
      </c>
      <c r="F8" s="255">
        <f>'DOE25'!J204+'DOE25'!J222+'DOE25'!J240</f>
        <v>0</v>
      </c>
      <c r="G8" s="53">
        <f>'DOE25'!K204+'DOE25'!K222+'DOE25'!K240</f>
        <v>4298.7800000000007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52004.2</v>
      </c>
      <c r="D9" s="244">
        <v>52004.2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12200</v>
      </c>
      <c r="D10" s="243"/>
      <c r="E10" s="244">
        <v>12200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92666.11</v>
      </c>
      <c r="D11" s="244">
        <v>92666.11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367470.28</v>
      </c>
      <c r="D12" s="20">
        <f>'DOE25'!L205+'DOE25'!L223+'DOE25'!L241-F12-G12</f>
        <v>363813.11000000004</v>
      </c>
      <c r="E12" s="243"/>
      <c r="F12" s="255">
        <f>'DOE25'!J205+'DOE25'!J223+'DOE25'!J241</f>
        <v>1845.22</v>
      </c>
      <c r="G12" s="53">
        <f>'DOE25'!K205+'DOE25'!K223+'DOE25'!K241</f>
        <v>1811.95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669589.98</v>
      </c>
      <c r="D14" s="20">
        <f>'DOE25'!L207+'DOE25'!L225+'DOE25'!L243-F14-G14</f>
        <v>661263.05999999994</v>
      </c>
      <c r="E14" s="243"/>
      <c r="F14" s="255">
        <f>'DOE25'!J207+'DOE25'!J225+'DOE25'!J243</f>
        <v>7090.52</v>
      </c>
      <c r="G14" s="53">
        <f>'DOE25'!K207+'DOE25'!K225+'DOE25'!K243</f>
        <v>1236.4000000000001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236438.16</v>
      </c>
      <c r="D15" s="20">
        <f>'DOE25'!L208+'DOE25'!L226+'DOE25'!L244-F15-G15</f>
        <v>236037.16</v>
      </c>
      <c r="E15" s="243"/>
      <c r="F15" s="255">
        <f>'DOE25'!J208+'DOE25'!J226+'DOE25'!J244</f>
        <v>0</v>
      </c>
      <c r="G15" s="53">
        <f>'DOE25'!K208+'DOE25'!K226+'DOE25'!K244</f>
        <v>401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452595</v>
      </c>
      <c r="D25" s="243"/>
      <c r="E25" s="243"/>
      <c r="F25" s="258"/>
      <c r="G25" s="256"/>
      <c r="H25" s="257">
        <f>'DOE25'!L260+'DOE25'!L261+'DOE25'!L341+'DOE25'!L342</f>
        <v>452595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196092.48</v>
      </c>
      <c r="D29" s="20">
        <f>'DOE25'!L358+'DOE25'!L359+'DOE25'!L360-'DOE25'!I367-F29-G29</f>
        <v>35368.170000000013</v>
      </c>
      <c r="E29" s="243"/>
      <c r="F29" s="255">
        <f>'DOE25'!J358+'DOE25'!J359+'DOE25'!J360</f>
        <v>0</v>
      </c>
      <c r="G29" s="53">
        <f>'DOE25'!K358+'DOE25'!K359+'DOE25'!K360</f>
        <v>160724.31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293990.62</v>
      </c>
      <c r="D31" s="20">
        <f>'DOE25'!L290+'DOE25'!L309+'DOE25'!L328+'DOE25'!L333+'DOE25'!L334+'DOE25'!L335-F31-G31</f>
        <v>258654.11</v>
      </c>
      <c r="E31" s="243"/>
      <c r="F31" s="255">
        <f>'DOE25'!J290+'DOE25'!J309+'DOE25'!J328+'DOE25'!J333+'DOE25'!J334+'DOE25'!J335</f>
        <v>4527</v>
      </c>
      <c r="G31" s="53">
        <f>'DOE25'!K290+'DOE25'!K309+'DOE25'!K328+'DOE25'!K333+'DOE25'!K334+'DOE25'!K335</f>
        <v>30809.510000000002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5737984.3799999999</v>
      </c>
      <c r="E33" s="246">
        <f>SUM(E5:E31)</f>
        <v>195420.16000000003</v>
      </c>
      <c r="F33" s="246">
        <f>SUM(F5:F31)</f>
        <v>93519.54</v>
      </c>
      <c r="G33" s="246">
        <f>SUM(G5:G31)</f>
        <v>223683.03</v>
      </c>
      <c r="H33" s="246">
        <f>SUM(H5:H31)</f>
        <v>452595</v>
      </c>
    </row>
    <row r="35" spans="2:8" ht="12" thickBot="1" x14ac:dyDescent="0.25">
      <c r="B35" s="253" t="s">
        <v>847</v>
      </c>
      <c r="D35" s="254">
        <f>E33</f>
        <v>195420.16000000003</v>
      </c>
      <c r="E35" s="249"/>
    </row>
    <row r="36" spans="2:8" ht="12" thickTop="1" x14ac:dyDescent="0.2">
      <c r="B36" t="s">
        <v>815</v>
      </c>
      <c r="D36" s="20">
        <f>D33</f>
        <v>5737984.3799999999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457595.57</v>
      </c>
      <c r="D8" s="95">
        <f>'DOE25'!G9</f>
        <v>1298.45</v>
      </c>
      <c r="E8" s="95">
        <f>'DOE25'!H9</f>
        <v>0</v>
      </c>
      <c r="F8" s="95">
        <f>'DOE25'!I9</f>
        <v>0</v>
      </c>
      <c r="G8" s="95">
        <f>'DOE25'!J9</f>
        <v>529604.87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90258.82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29696.75</v>
      </c>
      <c r="D12" s="95">
        <f>'DOE25'!G13</f>
        <v>4448.8599999999997</v>
      </c>
      <c r="E12" s="95">
        <f>'DOE25'!H13</f>
        <v>89726.97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</v>
      </c>
      <c r="D13" s="95">
        <f>'DOE25'!G14</f>
        <v>675.22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3648.44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577558.14</v>
      </c>
      <c r="D18" s="41">
        <f>SUM(D8:D17)</f>
        <v>10070.969999999999</v>
      </c>
      <c r="E18" s="41">
        <f>SUM(E8:E17)</f>
        <v>89726.97</v>
      </c>
      <c r="F18" s="41">
        <f>SUM(F8:F17)</f>
        <v>0</v>
      </c>
      <c r="G18" s="41">
        <f>SUM(G8:G17)</f>
        <v>529604.87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1839.64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88419.180000000008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100652.41</v>
      </c>
      <c r="D23" s="95">
        <f>'DOE25'!G24</f>
        <v>1393.06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15731.11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19083.099999999999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64404.91</v>
      </c>
      <c r="D29" s="95">
        <f>'DOE25'!G30</f>
        <v>0</v>
      </c>
      <c r="E29" s="95">
        <f>'DOE25'!H30</f>
        <v>1307.79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199871.53</v>
      </c>
      <c r="D31" s="41">
        <f>SUM(D21:D30)</f>
        <v>3232.7</v>
      </c>
      <c r="E31" s="41">
        <f>SUM(E21:E30)</f>
        <v>89726.97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3648.44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3189.8299999999872</v>
      </c>
      <c r="E47" s="95">
        <f>'DOE25'!H48</f>
        <v>0</v>
      </c>
      <c r="F47" s="95">
        <f>'DOE25'!I48</f>
        <v>0</v>
      </c>
      <c r="G47" s="95">
        <f>'DOE25'!J48</f>
        <v>529604.87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3950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373736.6099999994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377686.6099999994</v>
      </c>
      <c r="D50" s="41">
        <f>SUM(D34:D49)</f>
        <v>6838.2699999999877</v>
      </c>
      <c r="E50" s="41">
        <f>SUM(E34:E49)</f>
        <v>0</v>
      </c>
      <c r="F50" s="41">
        <f>SUM(F34:F49)</f>
        <v>0</v>
      </c>
      <c r="G50" s="41">
        <f>SUM(G34:G49)</f>
        <v>529604.87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577558.13999999943</v>
      </c>
      <c r="D51" s="41">
        <f>D50+D31</f>
        <v>10070.969999999987</v>
      </c>
      <c r="E51" s="41">
        <f>E50+E31</f>
        <v>89726.97</v>
      </c>
      <c r="F51" s="41">
        <f>F50+F31</f>
        <v>0</v>
      </c>
      <c r="G51" s="41">
        <f>G50+G31</f>
        <v>529604.87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1789082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1631304.3599999999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58.28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5603.77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76865.64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237409.53999999998</v>
      </c>
      <c r="D61" s="95">
        <f>SUM('DOE25'!G98:G110)</f>
        <v>0</v>
      </c>
      <c r="E61" s="95">
        <f>SUM('DOE25'!H98:H110)</f>
        <v>8466.08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1868772.18</v>
      </c>
      <c r="D62" s="130">
        <f>SUM(D57:D61)</f>
        <v>76865.64</v>
      </c>
      <c r="E62" s="130">
        <f>SUM(E57:E61)</f>
        <v>8466.08</v>
      </c>
      <c r="F62" s="130">
        <f>SUM(F57:F61)</f>
        <v>0</v>
      </c>
      <c r="G62" s="130">
        <f>SUM(G57:G61)</f>
        <v>5603.77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3657854.1799999997</v>
      </c>
      <c r="D63" s="22">
        <f>D56+D62</f>
        <v>76865.64</v>
      </c>
      <c r="E63" s="22">
        <f>E56+E62</f>
        <v>8466.08</v>
      </c>
      <c r="F63" s="22">
        <f>F56+F62</f>
        <v>0</v>
      </c>
      <c r="G63" s="22">
        <f>G56+G62</f>
        <v>5603.77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1870411.96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384902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2255313.96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158313.70000000001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2056.62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11866.01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2823.93</v>
      </c>
      <c r="E77" s="95">
        <f>SUM('DOE25'!H131:H135)</f>
        <v>14048.43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172236.33000000002</v>
      </c>
      <c r="D78" s="130">
        <f>SUM(D72:D77)</f>
        <v>2823.93</v>
      </c>
      <c r="E78" s="130">
        <f>SUM(E72:E77)</f>
        <v>14048.43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2427550.29</v>
      </c>
      <c r="D81" s="130">
        <f>SUM(D79:D80)+D78+D70</f>
        <v>2823.93</v>
      </c>
      <c r="E81" s="130">
        <f>SUM(E79:E80)+E78+E70</f>
        <v>14048.43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11593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8323.1299999999992</v>
      </c>
      <c r="D88" s="95">
        <f>SUM('DOE25'!G153:G161)</f>
        <v>97388.42</v>
      </c>
      <c r="E88" s="95">
        <f>SUM('DOE25'!H153:H161)</f>
        <v>259883.11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8323.1299999999992</v>
      </c>
      <c r="D91" s="131">
        <f>SUM(D85:D90)</f>
        <v>97388.42</v>
      </c>
      <c r="E91" s="131">
        <f>SUM(E85:E90)</f>
        <v>271476.11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10000</v>
      </c>
      <c r="E96" s="95">
        <f>'DOE25'!H179</f>
        <v>0</v>
      </c>
      <c r="F96" s="95">
        <f>'DOE25'!I179</f>
        <v>0</v>
      </c>
      <c r="G96" s="95">
        <f>'DOE25'!J179</f>
        <v>46800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10000</v>
      </c>
      <c r="E103" s="86">
        <f>SUM(E93:E102)</f>
        <v>0</v>
      </c>
      <c r="F103" s="86">
        <f>SUM(F93:F102)</f>
        <v>0</v>
      </c>
      <c r="G103" s="86">
        <f>SUM(G93:G102)</f>
        <v>46800</v>
      </c>
    </row>
    <row r="104" spans="1:7" ht="12.75" thickTop="1" thickBot="1" x14ac:dyDescent="0.25">
      <c r="A104" s="33" t="s">
        <v>765</v>
      </c>
      <c r="C104" s="86">
        <f>C63+C81+C91+C103</f>
        <v>6093727.5999999996</v>
      </c>
      <c r="D104" s="86">
        <f>D63+D81+D91+D103</f>
        <v>187077.99</v>
      </c>
      <c r="E104" s="86">
        <f>E63+E81+E91+E103</f>
        <v>293990.62</v>
      </c>
      <c r="F104" s="86">
        <f>F63+F81+F91+F103</f>
        <v>0</v>
      </c>
      <c r="G104" s="86">
        <f>G63+G81+G103</f>
        <v>52403.770000000004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2540760.3499999996</v>
      </c>
      <c r="D109" s="24" t="s">
        <v>289</v>
      </c>
      <c r="E109" s="95">
        <f>('DOE25'!L276)+('DOE25'!L295)+('DOE25'!L314)</f>
        <v>3661.83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713631.66999999993</v>
      </c>
      <c r="D110" s="24" t="s">
        <v>289</v>
      </c>
      <c r="E110" s="95">
        <f>('DOE25'!L277)+('DOE25'!L296)+('DOE25'!L315)</f>
        <v>177997.38999999998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15500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117042.56</v>
      </c>
      <c r="D112" s="24" t="s">
        <v>289</v>
      </c>
      <c r="E112" s="95">
        <f>+('DOE25'!L279)+('DOE25'!L298)+('DOE25'!L317)</f>
        <v>12697.53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3386934.5799999996</v>
      </c>
      <c r="D115" s="86">
        <f>SUM(D109:D114)</f>
        <v>0</v>
      </c>
      <c r="E115" s="86">
        <f>SUM(E109:E114)</f>
        <v>194356.74999999997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636614.51000000013</v>
      </c>
      <c r="D118" s="24" t="s">
        <v>289</v>
      </c>
      <c r="E118" s="95">
        <f>+('DOE25'!L281)+('DOE25'!L300)+('DOE25'!L319)</f>
        <v>35360.1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119087.25</v>
      </c>
      <c r="D119" s="24" t="s">
        <v>289</v>
      </c>
      <c r="E119" s="95">
        <f>+('DOE25'!L282)+('DOE25'!L301)+('DOE25'!L320)</f>
        <v>53623.16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332189.25000000006</v>
      </c>
      <c r="D120" s="24" t="s">
        <v>289</v>
      </c>
      <c r="E120" s="95">
        <f>+('DOE25'!L283)+('DOE25'!L302)+('DOE25'!L321)</f>
        <v>3789.61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367470.28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5000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669589.98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236438.16</v>
      </c>
      <c r="D124" s="24" t="s">
        <v>289</v>
      </c>
      <c r="E124" s="95">
        <f>+('DOE25'!L287)+('DOE25'!L306)+('DOE25'!L325)</f>
        <v>1861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196102.13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2361389.4300000006</v>
      </c>
      <c r="D128" s="86">
        <f>SUM(D118:D127)</f>
        <v>196102.13</v>
      </c>
      <c r="E128" s="86">
        <f>SUM(E118:E127)</f>
        <v>99633.87000000001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62595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52403.770000000004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-5603.7700000000041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22236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531631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6279955.0099999998</v>
      </c>
      <c r="D145" s="86">
        <f>(D115+D128+D144)</f>
        <v>196102.13</v>
      </c>
      <c r="E145" s="86">
        <f>(E115+E128+E144)</f>
        <v>293990.62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07/2016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5840000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35</v>
      </c>
      <c r="B159" s="137">
        <f>'DOE25'!F498</f>
        <v>1170000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1170000</v>
      </c>
    </row>
    <row r="160" spans="1:9" x14ac:dyDescent="0.2">
      <c r="A160" s="22" t="s">
        <v>36</v>
      </c>
      <c r="B160" s="137">
        <f>'DOE25'!F499</f>
        <v>81510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81510</v>
      </c>
    </row>
    <row r="161" spans="1:7" x14ac:dyDescent="0.2">
      <c r="A161" s="22" t="s">
        <v>37</v>
      </c>
      <c r="B161" s="137">
        <f>'DOE25'!F500</f>
        <v>1251510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1251510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390000</v>
      </c>
    </row>
    <row r="163" spans="1:7" x14ac:dyDescent="0.2">
      <c r="A163" s="22" t="s">
        <v>39</v>
      </c>
      <c r="B163" s="137">
        <f>'DOE25'!F502</f>
        <v>45045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45045</v>
      </c>
    </row>
    <row r="164" spans="1:7" x14ac:dyDescent="0.2">
      <c r="A164" s="22" t="s">
        <v>246</v>
      </c>
      <c r="B164" s="137">
        <f>'DOE25'!F503</f>
        <v>435045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435045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Colebrook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12913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19081</v>
      </c>
    </row>
    <row r="7" spans="1:4" x14ac:dyDescent="0.2">
      <c r="B7" t="s">
        <v>705</v>
      </c>
      <c r="C7" s="179">
        <f>IF('DOE25'!I665+'DOE25'!I670=0,0,ROUND('DOE25'!I672,0))</f>
        <v>14765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2544422</v>
      </c>
      <c r="D10" s="182">
        <f>ROUND((C10/$C$28)*100,1)</f>
        <v>40.700000000000003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891629</v>
      </c>
      <c r="D11" s="182">
        <f>ROUND((C11/$C$28)*100,1)</f>
        <v>14.3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15500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129740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671975</v>
      </c>
      <c r="D15" s="182">
        <f t="shared" ref="D15:D27" si="0">ROUND((C15/$C$28)*100,1)</f>
        <v>10.8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172710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335979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367470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5000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669590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238299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62595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22236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119236.36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6246381.3600000003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6246381.3600000003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1789082</v>
      </c>
      <c r="D35" s="182">
        <f t="shared" ref="D35:D40" si="1">ROUND((C35/$C$41)*100,1)</f>
        <v>27.6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1882842.0299999998</v>
      </c>
      <c r="D36" s="182">
        <f t="shared" si="1"/>
        <v>29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2255314</v>
      </c>
      <c r="D37" s="182">
        <f t="shared" si="1"/>
        <v>34.700000000000003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189109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377188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6493535.0299999993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Colebrook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23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4">
        <v>3</v>
      </c>
      <c r="B5" s="219">
        <v>23</v>
      </c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24</v>
      </c>
      <c r="C7" s="285" t="s">
        <v>916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2014-10-08T12:05:52Z</cp:lastPrinted>
  <dcterms:created xsi:type="dcterms:W3CDTF">1997-12-04T19:04:30Z</dcterms:created>
  <dcterms:modified xsi:type="dcterms:W3CDTF">2014-12-05T15:58:09Z</dcterms:modified>
</cp:coreProperties>
</file>