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50" i="1" l="1"/>
  <c r="J564" i="1" l="1"/>
  <c r="I564" i="1"/>
  <c r="H564" i="1"/>
  <c r="I563" i="1"/>
  <c r="H563" i="1"/>
  <c r="I562" i="1"/>
  <c r="H562" i="1"/>
  <c r="F559" i="1"/>
  <c r="J558" i="1"/>
  <c r="I558" i="1"/>
  <c r="G558" i="1"/>
  <c r="F558" i="1"/>
  <c r="G557" i="1"/>
  <c r="F557" i="1"/>
  <c r="I468" i="1" l="1"/>
  <c r="K426" i="1"/>
  <c r="J472" i="1"/>
  <c r="J468" i="1"/>
  <c r="G459" i="1"/>
  <c r="G448" i="1"/>
  <c r="K344" i="1"/>
  <c r="H472" i="1"/>
  <c r="F472" i="1"/>
  <c r="I472" i="1" l="1"/>
  <c r="I186" i="1"/>
  <c r="I22" i="1"/>
  <c r="I48" i="1"/>
  <c r="F12" i="1"/>
  <c r="F9" i="1"/>
  <c r="F48" i="1"/>
  <c r="H135" i="1"/>
  <c r="H157" i="1"/>
  <c r="F127" i="1"/>
  <c r="H48" i="1" l="1"/>
  <c r="H9" i="1"/>
  <c r="D11" i="13" l="1"/>
  <c r="C39" i="12" l="1"/>
  <c r="C38" i="12"/>
  <c r="C37" i="12"/>
  <c r="B39" i="12"/>
  <c r="C30" i="12"/>
  <c r="C29" i="12"/>
  <c r="C28" i="12"/>
  <c r="B30" i="12"/>
  <c r="C21" i="12"/>
  <c r="C20" i="12"/>
  <c r="C19" i="12"/>
  <c r="B21" i="12"/>
  <c r="B12" i="12"/>
  <c r="C12" i="12"/>
  <c r="C11" i="12"/>
  <c r="C10" i="12"/>
  <c r="F665" i="1"/>
  <c r="F502" i="1" l="1"/>
  <c r="F499" i="1"/>
  <c r="I360" i="1" l="1"/>
  <c r="I359" i="1"/>
  <c r="I358" i="1"/>
  <c r="G158" i="1"/>
  <c r="G468" i="1"/>
  <c r="G472" i="1" l="1"/>
  <c r="K251" i="1"/>
  <c r="I251" i="1"/>
  <c r="H251" i="1"/>
  <c r="G251" i="1"/>
  <c r="F251" i="1"/>
  <c r="H368" i="1"/>
  <c r="G368" i="1"/>
  <c r="F368" i="1"/>
  <c r="H367" i="1"/>
  <c r="G367" i="1"/>
  <c r="F367" i="1"/>
  <c r="K360" i="1"/>
  <c r="J360" i="1"/>
  <c r="H360" i="1"/>
  <c r="G360" i="1"/>
  <c r="F360" i="1"/>
  <c r="K359" i="1"/>
  <c r="J359" i="1"/>
  <c r="H359" i="1"/>
  <c r="G359" i="1"/>
  <c r="F359" i="1"/>
  <c r="K358" i="1"/>
  <c r="J358" i="1"/>
  <c r="H358" i="1"/>
  <c r="G358" i="1"/>
  <c r="F358" i="1"/>
  <c r="H325" i="1"/>
  <c r="I321" i="1"/>
  <c r="H321" i="1"/>
  <c r="G321" i="1"/>
  <c r="F321" i="1"/>
  <c r="I302" i="1"/>
  <c r="H302" i="1"/>
  <c r="G302" i="1"/>
  <c r="F302" i="1"/>
  <c r="I283" i="1"/>
  <c r="H283" i="1"/>
  <c r="G283" i="1"/>
  <c r="F283" i="1"/>
  <c r="I320" i="1"/>
  <c r="H320" i="1"/>
  <c r="G320" i="1"/>
  <c r="F320" i="1"/>
  <c r="I301" i="1"/>
  <c r="H301" i="1"/>
  <c r="G301" i="1"/>
  <c r="F301" i="1"/>
  <c r="I282" i="1"/>
  <c r="H282" i="1"/>
  <c r="G282" i="1"/>
  <c r="F282" i="1"/>
  <c r="J319" i="1"/>
  <c r="I319" i="1"/>
  <c r="H319" i="1"/>
  <c r="G319" i="1"/>
  <c r="F319" i="1"/>
  <c r="J300" i="1"/>
  <c r="I300" i="1"/>
  <c r="H300" i="1"/>
  <c r="G300" i="1"/>
  <c r="F300" i="1"/>
  <c r="J281" i="1"/>
  <c r="I281" i="1"/>
  <c r="H281" i="1"/>
  <c r="G281" i="1"/>
  <c r="F281" i="1"/>
  <c r="J315" i="1"/>
  <c r="I315" i="1"/>
  <c r="H315" i="1"/>
  <c r="G315" i="1"/>
  <c r="F315" i="1"/>
  <c r="J296" i="1"/>
  <c r="I296" i="1"/>
  <c r="H296" i="1"/>
  <c r="G296" i="1"/>
  <c r="F296" i="1"/>
  <c r="J277" i="1"/>
  <c r="I277" i="1"/>
  <c r="H277" i="1"/>
  <c r="G277" i="1"/>
  <c r="F277" i="1"/>
  <c r="J314" i="1"/>
  <c r="I314" i="1"/>
  <c r="G314" i="1"/>
  <c r="F314" i="1"/>
  <c r="J295" i="1"/>
  <c r="I295" i="1"/>
  <c r="G295" i="1"/>
  <c r="F295" i="1"/>
  <c r="J276" i="1"/>
  <c r="I276" i="1"/>
  <c r="G276" i="1"/>
  <c r="F276" i="1"/>
  <c r="G197" i="1"/>
  <c r="G233" i="1"/>
  <c r="G243" i="1"/>
  <c r="G225" i="1"/>
  <c r="G207" i="1"/>
  <c r="G241" i="1"/>
  <c r="G223" i="1"/>
  <c r="G205" i="1"/>
  <c r="G239" i="1"/>
  <c r="G221" i="1"/>
  <c r="G203" i="1"/>
  <c r="G238" i="1"/>
  <c r="G220" i="1"/>
  <c r="G202" i="1"/>
  <c r="G236" i="1"/>
  <c r="G218" i="1"/>
  <c r="G200" i="1"/>
  <c r="G235" i="1"/>
  <c r="G234" i="1"/>
  <c r="G216" i="1"/>
  <c r="G198" i="1"/>
  <c r="G215" i="1"/>
  <c r="F233" i="1"/>
  <c r="F215" i="1"/>
  <c r="F197" i="1"/>
  <c r="H221" i="1"/>
  <c r="K261" i="1"/>
  <c r="K266" i="1"/>
  <c r="K260" i="1"/>
  <c r="J245" i="1"/>
  <c r="I245" i="1"/>
  <c r="H245" i="1"/>
  <c r="G245" i="1"/>
  <c r="F245" i="1"/>
  <c r="J227" i="1"/>
  <c r="I227" i="1"/>
  <c r="H227" i="1"/>
  <c r="G227" i="1"/>
  <c r="F227" i="1"/>
  <c r="J209" i="1"/>
  <c r="I209" i="1"/>
  <c r="H209" i="1"/>
  <c r="G209" i="1"/>
  <c r="F209" i="1"/>
  <c r="K244" i="1"/>
  <c r="J244" i="1"/>
  <c r="I244" i="1"/>
  <c r="H244" i="1"/>
  <c r="G244" i="1"/>
  <c r="F244" i="1"/>
  <c r="K226" i="1"/>
  <c r="J226" i="1"/>
  <c r="I226" i="1"/>
  <c r="H226" i="1"/>
  <c r="G226" i="1"/>
  <c r="F226" i="1"/>
  <c r="K208" i="1"/>
  <c r="J208" i="1"/>
  <c r="I208" i="1"/>
  <c r="H208" i="1"/>
  <c r="G208" i="1"/>
  <c r="F208" i="1"/>
  <c r="K243" i="1"/>
  <c r="J243" i="1"/>
  <c r="I243" i="1"/>
  <c r="H243" i="1"/>
  <c r="F243" i="1"/>
  <c r="K225" i="1"/>
  <c r="J225" i="1"/>
  <c r="I225" i="1"/>
  <c r="H225" i="1"/>
  <c r="F225" i="1"/>
  <c r="K207" i="1"/>
  <c r="J207" i="1"/>
  <c r="I207" i="1"/>
  <c r="H207" i="1"/>
  <c r="F207" i="1"/>
  <c r="K242" i="1"/>
  <c r="J242" i="1"/>
  <c r="I242" i="1"/>
  <c r="H242" i="1"/>
  <c r="G242" i="1"/>
  <c r="F242" i="1"/>
  <c r="K224" i="1"/>
  <c r="J224" i="1"/>
  <c r="I224" i="1"/>
  <c r="H224" i="1"/>
  <c r="G224" i="1"/>
  <c r="F224" i="1"/>
  <c r="K206" i="1"/>
  <c r="J206" i="1"/>
  <c r="I206" i="1"/>
  <c r="H206" i="1"/>
  <c r="G206" i="1"/>
  <c r="F206" i="1"/>
  <c r="K240" i="1"/>
  <c r="J240" i="1"/>
  <c r="I240" i="1"/>
  <c r="H240" i="1"/>
  <c r="G240" i="1"/>
  <c r="F240" i="1"/>
  <c r="K222" i="1"/>
  <c r="J222" i="1"/>
  <c r="I222" i="1"/>
  <c r="H222" i="1"/>
  <c r="G222" i="1"/>
  <c r="F222" i="1"/>
  <c r="K204" i="1"/>
  <c r="J204" i="1"/>
  <c r="I204" i="1"/>
  <c r="H204" i="1"/>
  <c r="G204" i="1"/>
  <c r="F204" i="1"/>
  <c r="J239" i="1"/>
  <c r="I239" i="1"/>
  <c r="H239" i="1"/>
  <c r="F239" i="1"/>
  <c r="J221" i="1"/>
  <c r="I221" i="1"/>
  <c r="F221" i="1"/>
  <c r="J203" i="1"/>
  <c r="I203" i="1"/>
  <c r="H203" i="1"/>
  <c r="F203" i="1"/>
  <c r="K238" i="1"/>
  <c r="J238" i="1"/>
  <c r="I238" i="1"/>
  <c r="H238" i="1"/>
  <c r="F238" i="1"/>
  <c r="K220" i="1"/>
  <c r="J220" i="1"/>
  <c r="I220" i="1"/>
  <c r="H220" i="1"/>
  <c r="F220" i="1"/>
  <c r="K202" i="1"/>
  <c r="J202" i="1"/>
  <c r="I202" i="1"/>
  <c r="H202" i="1"/>
  <c r="F202" i="1"/>
  <c r="F236" i="1"/>
  <c r="F218" i="1"/>
  <c r="F200" i="1"/>
  <c r="J235" i="1"/>
  <c r="I234" i="1"/>
  <c r="I233" i="1"/>
  <c r="H234" i="1"/>
  <c r="H233" i="1"/>
  <c r="F234" i="1"/>
  <c r="J216" i="1"/>
  <c r="I216" i="1"/>
  <c r="I215" i="1"/>
  <c r="H216" i="1"/>
  <c r="H215" i="1"/>
  <c r="F216" i="1"/>
  <c r="J198" i="1"/>
  <c r="I198" i="1"/>
  <c r="I197" i="1"/>
  <c r="H198" i="1"/>
  <c r="H197" i="1"/>
  <c r="F198" i="1"/>
  <c r="G441" i="1"/>
  <c r="G440" i="1"/>
  <c r="H400" i="1"/>
  <c r="J380" i="1"/>
  <c r="H380" i="1"/>
  <c r="H379" i="1"/>
  <c r="I380" i="1"/>
  <c r="H376" i="1"/>
  <c r="J333" i="1" l="1"/>
  <c r="I333" i="1"/>
  <c r="H333" i="1"/>
  <c r="G333" i="1"/>
  <c r="F333" i="1"/>
  <c r="K320" i="1"/>
  <c r="I317" i="1"/>
  <c r="G317" i="1"/>
  <c r="F317" i="1"/>
  <c r="J316" i="1"/>
  <c r="I316" i="1"/>
  <c r="H316" i="1"/>
  <c r="G316" i="1"/>
  <c r="F316" i="1"/>
  <c r="H314" i="1"/>
  <c r="H306" i="1"/>
  <c r="I298" i="1"/>
  <c r="G298" i="1"/>
  <c r="F298" i="1"/>
  <c r="I279" i="1"/>
  <c r="G279" i="1"/>
  <c r="F279" i="1"/>
  <c r="H279" i="1"/>
  <c r="H255" i="1"/>
  <c r="K241" i="1"/>
  <c r="J241" i="1"/>
  <c r="I241" i="1"/>
  <c r="H241" i="1"/>
  <c r="F241" i="1"/>
  <c r="K239" i="1"/>
  <c r="K236" i="1"/>
  <c r="J236" i="1"/>
  <c r="I236" i="1"/>
  <c r="H236" i="1"/>
  <c r="K235" i="1"/>
  <c r="I235" i="1"/>
  <c r="H235" i="1"/>
  <c r="F235" i="1"/>
  <c r="K234" i="1"/>
  <c r="J234" i="1"/>
  <c r="K233" i="1"/>
  <c r="J233" i="1"/>
  <c r="K223" i="1"/>
  <c r="J223" i="1"/>
  <c r="I223" i="1"/>
  <c r="H223" i="1"/>
  <c r="F223" i="1"/>
  <c r="K218" i="1"/>
  <c r="J218" i="1"/>
  <c r="I218" i="1"/>
  <c r="H218" i="1"/>
  <c r="J96" i="1"/>
  <c r="G97" i="1"/>
  <c r="F98" i="1" l="1"/>
  <c r="F69" i="1"/>
  <c r="F68" i="1"/>
  <c r="F63" i="1"/>
  <c r="G9" i="1"/>
  <c r="G14" i="1"/>
  <c r="G30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0" i="10"/>
  <c r="C11" i="10"/>
  <c r="C12" i="10"/>
  <c r="C13" i="10"/>
  <c r="C15" i="10"/>
  <c r="C17" i="10"/>
  <c r="C18" i="10"/>
  <c r="C19" i="10"/>
  <c r="C20" i="10"/>
  <c r="C21" i="10"/>
  <c r="L250" i="1"/>
  <c r="L332" i="1"/>
  <c r="L254" i="1"/>
  <c r="C25" i="10"/>
  <c r="L268" i="1"/>
  <c r="L269" i="1"/>
  <c r="L349" i="1"/>
  <c r="L350" i="1"/>
  <c r="I665" i="1"/>
  <c r="I670" i="1"/>
  <c r="L229" i="1"/>
  <c r="L247" i="1"/>
  <c r="F661" i="1"/>
  <c r="G661" i="1"/>
  <c r="H661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C62" i="2" s="1"/>
  <c r="C63" i="2" s="1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0" i="2"/>
  <c r="E110" i="2"/>
  <c r="C111" i="2"/>
  <c r="E111" i="2"/>
  <c r="C112" i="2"/>
  <c r="E112" i="2"/>
  <c r="C113" i="2"/>
  <c r="E113" i="2"/>
  <c r="C114" i="2"/>
  <c r="E114" i="2"/>
  <c r="C115" i="2"/>
  <c r="D115" i="2"/>
  <c r="F115" i="2"/>
  <c r="G115" i="2"/>
  <c r="C118" i="2"/>
  <c r="E118" i="2"/>
  <c r="E119" i="2"/>
  <c r="C120" i="2"/>
  <c r="E120" i="2"/>
  <c r="C121" i="2"/>
  <c r="E121" i="2"/>
  <c r="C122" i="2"/>
  <c r="E122" i="2"/>
  <c r="C123" i="2"/>
  <c r="E123" i="2"/>
  <c r="C124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D145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I19" i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 s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H647" i="1"/>
  <c r="G649" i="1"/>
  <c r="J649" i="1" s="1"/>
  <c r="G650" i="1"/>
  <c r="G651" i="1"/>
  <c r="G652" i="1"/>
  <c r="H652" i="1"/>
  <c r="G653" i="1"/>
  <c r="H653" i="1"/>
  <c r="G654" i="1"/>
  <c r="H654" i="1"/>
  <c r="H655" i="1"/>
  <c r="F192" i="1"/>
  <c r="L256" i="1"/>
  <c r="K257" i="1"/>
  <c r="K271" i="1" s="1"/>
  <c r="I257" i="1"/>
  <c r="I271" i="1" s="1"/>
  <c r="G164" i="2"/>
  <c r="C18" i="2"/>
  <c r="C26" i="10"/>
  <c r="L328" i="1"/>
  <c r="H660" i="1" s="1"/>
  <c r="H664" i="1" s="1"/>
  <c r="L351" i="1"/>
  <c r="I662" i="1"/>
  <c r="L290" i="1"/>
  <c r="A31" i="12"/>
  <c r="C70" i="2"/>
  <c r="A40" i="12"/>
  <c r="D12" i="13"/>
  <c r="C12" i="13" s="1"/>
  <c r="D62" i="2"/>
  <c r="D63" i="2" s="1"/>
  <c r="D18" i="13"/>
  <c r="C18" i="13" s="1"/>
  <c r="D15" i="13"/>
  <c r="C15" i="13" s="1"/>
  <c r="D18" i="2"/>
  <c r="D17" i="13"/>
  <c r="C17" i="13" s="1"/>
  <c r="D6" i="13"/>
  <c r="C6" i="13" s="1"/>
  <c r="E8" i="13"/>
  <c r="C8" i="13" s="1"/>
  <c r="C91" i="2"/>
  <c r="F78" i="2"/>
  <c r="F81" i="2" s="1"/>
  <c r="D31" i="2"/>
  <c r="C78" i="2"/>
  <c r="C81" i="2" s="1"/>
  <c r="D50" i="2"/>
  <c r="G157" i="2"/>
  <c r="F18" i="2"/>
  <c r="G161" i="2"/>
  <c r="G156" i="2"/>
  <c r="E115" i="2"/>
  <c r="E103" i="2"/>
  <c r="D91" i="2"/>
  <c r="E62" i="2"/>
  <c r="E63" i="2" s="1"/>
  <c r="E31" i="2"/>
  <c r="G62" i="2"/>
  <c r="D29" i="13"/>
  <c r="C29" i="13" s="1"/>
  <c r="D19" i="13"/>
  <c r="C19" i="13" s="1"/>
  <c r="D14" i="13"/>
  <c r="C14" i="13" s="1"/>
  <c r="E13" i="13"/>
  <c r="C13" i="13" s="1"/>
  <c r="J617" i="1"/>
  <c r="E78" i="2"/>
  <c r="E81" i="2" s="1"/>
  <c r="L427" i="1"/>
  <c r="J257" i="1"/>
  <c r="J271" i="1" s="1"/>
  <c r="H112" i="1"/>
  <c r="F112" i="1"/>
  <c r="J641" i="1"/>
  <c r="J639" i="1"/>
  <c r="K605" i="1"/>
  <c r="G648" i="1" s="1"/>
  <c r="J571" i="1"/>
  <c r="K571" i="1"/>
  <c r="L433" i="1"/>
  <c r="L419" i="1"/>
  <c r="D81" i="2"/>
  <c r="I169" i="1"/>
  <c r="H169" i="1"/>
  <c r="G552" i="1"/>
  <c r="J644" i="1"/>
  <c r="J643" i="1"/>
  <c r="J476" i="1"/>
  <c r="H626" i="1" s="1"/>
  <c r="H476" i="1"/>
  <c r="H624" i="1" s="1"/>
  <c r="J624" i="1" s="1"/>
  <c r="F476" i="1"/>
  <c r="H622" i="1" s="1"/>
  <c r="J622" i="1" s="1"/>
  <c r="I476" i="1"/>
  <c r="H625" i="1" s="1"/>
  <c r="J625" i="1" s="1"/>
  <c r="G476" i="1"/>
  <c r="H623" i="1" s="1"/>
  <c r="J623" i="1" s="1"/>
  <c r="G338" i="1"/>
  <c r="G352" i="1" s="1"/>
  <c r="F169" i="1"/>
  <c r="J140" i="1"/>
  <c r="F571" i="1"/>
  <c r="H257" i="1"/>
  <c r="H271" i="1" s="1"/>
  <c r="I552" i="1"/>
  <c r="K549" i="1"/>
  <c r="K550" i="1"/>
  <c r="G22" i="2"/>
  <c r="K598" i="1"/>
  <c r="G647" i="1" s="1"/>
  <c r="J647" i="1" s="1"/>
  <c r="K545" i="1"/>
  <c r="J552" i="1"/>
  <c r="H552" i="1"/>
  <c r="C29" i="10"/>
  <c r="I661" i="1"/>
  <c r="H140" i="1"/>
  <c r="L401" i="1"/>
  <c r="C139" i="2" s="1"/>
  <c r="L393" i="1"/>
  <c r="A13" i="12"/>
  <c r="F22" i="13"/>
  <c r="H25" i="13"/>
  <c r="C25" i="13" s="1"/>
  <c r="J651" i="1"/>
  <c r="J640" i="1"/>
  <c r="J634" i="1"/>
  <c r="H571" i="1"/>
  <c r="L560" i="1"/>
  <c r="J545" i="1"/>
  <c r="H338" i="1"/>
  <c r="H352" i="1" s="1"/>
  <c r="F338" i="1"/>
  <c r="F352" i="1" s="1"/>
  <c r="G192" i="1"/>
  <c r="H192" i="1"/>
  <c r="E128" i="2"/>
  <c r="F552" i="1"/>
  <c r="C35" i="10"/>
  <c r="L309" i="1"/>
  <c r="D5" i="13"/>
  <c r="C5" i="13" s="1"/>
  <c r="E16" i="13"/>
  <c r="E33" i="13" s="1"/>
  <c r="D35" i="13" s="1"/>
  <c r="J655" i="1"/>
  <c r="J645" i="1"/>
  <c r="L570" i="1"/>
  <c r="I571" i="1"/>
  <c r="I545" i="1"/>
  <c r="J636" i="1"/>
  <c r="G36" i="2"/>
  <c r="L565" i="1"/>
  <c r="G545" i="1"/>
  <c r="L545" i="1"/>
  <c r="H545" i="1"/>
  <c r="K551" i="1"/>
  <c r="K552" i="1" s="1"/>
  <c r="C22" i="13"/>
  <c r="C138" i="2"/>
  <c r="C16" i="13"/>
  <c r="H33" i="13"/>
  <c r="L337" i="1" l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660" i="1"/>
  <c r="G664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H667" i="1"/>
  <c r="H672" i="1"/>
  <c r="C6" i="10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667" i="1"/>
  <c r="G672" i="1"/>
  <c r="C5" i="10" s="1"/>
  <c r="G42" i="2"/>
  <c r="J51" i="1"/>
  <c r="G16" i="2"/>
  <c r="J19" i="1"/>
  <c r="G621" i="1" s="1"/>
  <c r="F33" i="13"/>
  <c r="D31" i="13"/>
  <c r="C31" i="13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G50" i="2"/>
  <c r="G51" i="2" s="1"/>
  <c r="H648" i="1"/>
  <c r="J648" i="1" s="1"/>
  <c r="C104" i="2"/>
  <c r="J652" i="1"/>
  <c r="J642" i="1"/>
  <c r="G571" i="1"/>
  <c r="I434" i="1"/>
  <c r="G434" i="1"/>
  <c r="E104" i="2"/>
  <c r="I663" i="1"/>
  <c r="C27" i="10"/>
  <c r="G635" i="1"/>
  <c r="J635" i="1" s="1"/>
  <c r="C51" i="2" l="1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C41" i="10" l="1"/>
  <c r="D38" i="10" s="1"/>
  <c r="D37" i="10" l="1"/>
  <c r="D36" i="10"/>
  <c r="D35" i="10"/>
  <c r="D40" i="10"/>
  <c r="D39" i="10"/>
  <c r="D41" i="10" l="1"/>
  <c r="L203" i="1"/>
  <c r="D7" i="13" s="1"/>
  <c r="G211" i="1"/>
  <c r="G257" i="1"/>
  <c r="G271" i="1"/>
  <c r="C7" i="13" l="1"/>
  <c r="D33" i="13"/>
  <c r="D36" i="13" s="1"/>
  <c r="L211" i="1"/>
  <c r="C119" i="2"/>
  <c r="C128" i="2" s="1"/>
  <c r="C145" i="2" s="1"/>
  <c r="C16" i="10"/>
  <c r="C28" i="10" l="1"/>
  <c r="D16" i="10"/>
  <c r="L257" i="1"/>
  <c r="L271" i="1" s="1"/>
  <c r="G632" i="1" s="1"/>
  <c r="F660" i="1"/>
  <c r="I660" i="1" l="1"/>
  <c r="I664" i="1" s="1"/>
  <c r="F664" i="1"/>
  <c r="H656" i="1"/>
  <c r="J632" i="1"/>
  <c r="D10" i="10"/>
  <c r="D27" i="10"/>
  <c r="D20" i="10"/>
  <c r="D13" i="10"/>
  <c r="D18" i="10"/>
  <c r="D26" i="10"/>
  <c r="D15" i="10"/>
  <c r="D11" i="10"/>
  <c r="D17" i="10"/>
  <c r="C30" i="10"/>
  <c r="D25" i="10"/>
  <c r="D21" i="10"/>
  <c r="D12" i="10"/>
  <c r="D19" i="10"/>
  <c r="D22" i="10"/>
  <c r="D24" i="10"/>
  <c r="D23" i="10"/>
  <c r="D28" i="10" l="1"/>
  <c r="F667" i="1"/>
  <c r="F672" i="1"/>
  <c r="C4" i="10" s="1"/>
  <c r="I667" i="1"/>
  <c r="I672" i="1"/>
  <c r="C7" i="10" s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<sst xmlns="http://schemas.openxmlformats.org/spreadsheetml/2006/main" count="3958" uniqueCount="916">
  <si>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</si>
  <si>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</si>
  <si>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</si>
  <si>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</si>
  <si>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</si>
  <si>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</si>
  <si>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</si>
  <si>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</si>
  <si>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</si>
  <si>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</si>
  <si>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</si>
  <si>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</si>
  <si>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</si>
  <si>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</si>
  <si>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</si>
  <si>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</si>
  <si>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</si>
  <si>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</si>
  <si>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</si>
  <si>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</si>
  <si>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</si>
  <si>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</si>
  <si>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</si>
  <si>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</si>
  <si>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</si>
  <si>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</si>
  <si>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</si>
  <si>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</si>
  <si>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</si>
  <si>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</si>
  <si>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</si>
  <si>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</si>
  <si>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</si>
  <si>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</si>
  <si>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</si>
  <si>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</si>
  <si>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</si>
  <si>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</si>
  <si>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</si>
  <si>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</si>
  <si>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</si>
  <si>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</si>
  <si>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</si>
  <si>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</si>
  <si>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</si>
  <si>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</si>
  <si>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</si>
  <si>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</si>
  <si>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</si>
  <si>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</si>
  <si>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</si>
  <si>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</si>
  <si>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</si>
  <si>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</si>
  <si>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</si>
  <si>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</si>
  <si>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</si>
  <si>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</si>
  <si>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</si>
  <si>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</si>
  <si>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</si>
  <si>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</si>
  <si>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</si>
  <si>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</si>
  <si>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</si>
  <si>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</si>
  <si>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</si>
  <si>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</si>
  <si>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</si>
  <si>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</si>
  <si>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</si>
  <si>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</si>
  <si>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</si>
  <si>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</si>
  <si>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</si>
  <si>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</si>
  <si>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</si>
  <si>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</si>
  <si>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</si>
  <si>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</si>
  <si>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</si>
  <si>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</si>
  <si>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</si>
  <si>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</si>
  <si>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</si>
  <si>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</si>
  <si>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</si>
  <si>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</si>
  <si>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</si>
  <si>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</si>
  <si>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</si>
  <si>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</si>
  <si>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</si>
  <si>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</si>
  <si>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</si>
  <si>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</si>
  <si>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</si>
  <si>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</si>
  <si>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</si>
  <si>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</si>
  <si>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</si>
  <si>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</si>
  <si>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</si>
  <si>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</si>
  <si>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</si>
  <si>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</si>
  <si>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</si>
  <si>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</si>
  <si>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</si>
  <si>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</si>
  <si>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</si>
  <si>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</si>
  <si>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</si>
  <si>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</si>
  <si>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</si>
  <si>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</si>
  <si>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</si>
  <si>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</si>
  <si>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</si>
  <si>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</si>
  <si>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</si>
  <si>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</si>
  <si>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</si>
  <si>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</si>
  <si>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</si>
  <si>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</si>
  <si>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</si>
  <si>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</si>
  <si>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</si>
  <si>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</si>
  <si>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</si>
  <si>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</si>
  <si>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</si>
  <si>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</si>
  <si>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</si>
  <si>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</si>
  <si>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</si>
  <si>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</si>
  <si>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</si>
  <si>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</si>
  <si>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</si>
  <si>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</si>
  <si>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</si>
  <si>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</si>
  <si>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</si>
  <si>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</si>
  <si>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</si>
  <si>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</si>
  <si>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</si>
  <si>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</si>
  <si>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</si>
  <si>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</si>
  <si>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</si>
  <si>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</si>
  <si>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</si>
  <si>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</si>
  <si>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</si>
  <si>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</si>
  <si>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</si>
  <si>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</si>
  <si>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</si>
  <si>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</si>
  <si>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</si>
  <si>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</si>
  <si>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</si>
  <si>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</si>
  <si>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</si>
  <si>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</si>
  <si>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</si>
  <si>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</si>
  <si>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</si>
  <si>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</si>
  <si>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</si>
  <si>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</si>
  <si>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</si>
  <si>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</si>
  <si>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</si>
  <si>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</si>
  <si>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</si>
  <si>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</si>
  <si>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</si>
  <si>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</si>
  <si>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</si>
  <si>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</si>
  <si>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</si>
  <si>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</si>
  <si>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</si>
  <si>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</si>
  <si>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</si>
  <si>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</si>
  <si>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</si>
  <si>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</si>
  <si>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</si>
  <si>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</si>
  <si>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</si>
  <si>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</si>
  <si>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</si>
  <si>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</si>
  <si>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</si>
  <si>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</si>
  <si>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</si>
  <si>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</si>
  <si>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</si>
  <si>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</si>
  <si>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</si>
  <si>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</si>
  <si>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</si>
  <si>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</si>
  <si>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</si>
  <si>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</si>
  <si>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</si>
  <si>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</si>
  <si>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</si>
  <si>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</si>
  <si>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</si>
  <si>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</si>
  <si>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</si>
  <si>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</si>
  <si>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</si>
  <si>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</si>
  <si>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</si>
  <si>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</si>
  <si>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</si>
  <si>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</si>
  <si>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</si>
  <si>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</si>
  <si>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</si>
  <si>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</si>
  <si>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</si>
  <si>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</si>
  <si>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</si>
  <si>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</si>
  <si>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</si>
  <si>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</si>
  <si>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</si>
  <si>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</si>
  <si>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</si>
  <si>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</si>
  <si>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</si>
  <si>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</si>
  <si>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</si>
  <si>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</si>
  <si>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</si>
  <si>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</si>
  <si>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</si>
  <si>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</si>
  <si>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</si>
  <si>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</si>
  <si>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</si>
  <si>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</si>
  <si>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</si>
  <si>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</si>
  <si>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</si>
  <si>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</si>
  <si>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</si>
  <si>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</si>
  <si>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</si>
  <si>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</si>
  <si>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</si>
  <si>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</si>
  <si>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</si>
  <si>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</si>
  <si>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</si>
  <si>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</si>
  <si>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</si>
  <si>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</si>
  <si>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</si>
  <si>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</si>
  <si>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</si>
  <si>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</si>
  <si>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</si>
  <si>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</si>
  <si>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</si>
  <si>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</si>
  <si>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</si>
  <si>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</si>
  <si>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</si>
  <si>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</si>
  <si>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</si>
  <si>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</si>
  <si>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</si>
  <si>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</si>
  <si>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</si>
  <si>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</si>
  <si>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</si>
  <si>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</si>
  <si>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</si>
  <si>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</si>
  <si>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</si>
  <si>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</si>
  <si>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</si>
  <si>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</si>
  <si>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</si>
  <si>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</si>
  <si>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</si>
  <si>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</si>
  <si>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</si>
  <si>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</si>
  <si>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</si>
  <si>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</si>
  <si>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</si>
  <si>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</si>
  <si>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</si>
  <si>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</si>
  <si>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</si>
  <si>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</si>
  <si>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</si>
  <si>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</si>
  <si>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</si>
  <si>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</si>
  <si>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</si>
  <si>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</si>
  <si>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</si>
  <si>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</si>
  <si>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</si>
  <si>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</si>
  <si>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</si>
  <si>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</si>
  <si>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</si>
  <si>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</si>
  <si>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</si>
  <si>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</si>
  <si>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</si>
  <si>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</si>
  <si>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</si>
  <si>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</si>
  <si>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</si>
  <si>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</si>
  <si>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</si>
  <si>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</si>
  <si>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</si>
  <si>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</si>
  <si>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</si>
  <si>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</si>
  <si>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</si>
  <si>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</si>
  <si>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</si>
  <si>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</si>
  <si>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</si>
  <si>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</si>
  <si>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</si>
  <si>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</si>
  <si>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</si>
  <si>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</si>
  <si>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</si>
  <si>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</si>
  <si>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</si>
  <si>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</si>
  <si>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</si>
  <si>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</si>
  <si>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</si>
  <si>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</si>
  <si>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</si>
  <si>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</si>
  <si>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</si>
  <si>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</si>
  <si>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</si>
  <si>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</si>
  <si>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</si>
  <si>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</si>
  <si>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</si>
  <si>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</si>
  <si>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</si>
  <si>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</si>
  <si>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</si>
  <si>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</si>
  <si>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</si>
  <si>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</si>
  <si>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</si>
  <si>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</si>
  <si>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</si>
  <si>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</si>
  <si>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</si>
  <si>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</si>
  <si>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</si>
  <si>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</si>
  <si>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</si>
  <si>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</si>
  <si>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</si>
  <si>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</si>
  <si>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</si>
  <si>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</si>
  <si>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</si>
  <si>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</si>
  <si>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</si>
  <si>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</si>
  <si>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</si>
  <si>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</si>
  <si>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</si>
  <si>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</si>
  <si>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</si>
  <si>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</si>
  <si>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</si>
  <si>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</si>
  <si>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</si>
  <si>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</si>
  <si>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</si>
  <si>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</si>
  <si>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</si>
  <si>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</si>
  <si>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</si>
  <si>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</si>
  <si>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</si>
  <si>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</si>
  <si>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</si>
  <si>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</si>
  <si>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</si>
  <si>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</si>
  <si>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</si>
  <si>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</si>
  <si>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</si>
  <si>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</si>
  <si>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</si>
  <si>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</si>
  <si>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</si>
  <si>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</si>
  <si>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</si>
  <si>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</si>
  <si>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</si>
  <si>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</si>
  <si>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</si>
  <si>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</si>
  <si>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</si>
  <si>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</si>
  <si>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</si>
  <si>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</si>
  <si>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</si>
  <si>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</si>
  <si>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</si>
  <si>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</si>
  <si>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</si>
  <si>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</si>
  <si>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</si>
  <si>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</si>
  <si>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</si>
  <si>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</si>
  <si>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</si>
  <si>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</si>
  <si>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</si>
  <si>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</si>
  <si>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</si>
  <si>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</si>
  <si>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</si>
  <si>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</si>
  <si>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</si>
  <si>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</si>
  <si>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</si>
  <si>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</si>
  <si>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</si>
  <si>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</si>
  <si>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</si>
  <si>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</si>
  <si>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</si>
  <si>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</si>
  <si>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</si>
  <si>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</si>
  <si>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</si>
  <si>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</si>
  <si>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</si>
  <si>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</si>
  <si>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</si>
  <si>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</si>
  <si>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</si>
  <si>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</si>
  <si>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</si>
  <si>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</si>
  <si>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</si>
  <si>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</si>
  <si>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</si>
  <si>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</si>
  <si>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</si>
  <si>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</si>
  <si>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</si>
  <si>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</si>
  <si>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</si>
  <si>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</si>
  <si>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</si>
  <si>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</si>
  <si>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</si>
  <si>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</si>
  <si>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</si>
  <si>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</si>
  <si>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</si>
  <si>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</si>
  <si>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</si>
  <si>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</si>
  <si>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</si>
  <si>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</si>
  <si>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</si>
  <si>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</si>
  <si>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</si>
  <si>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</si>
  <si>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</si>
  <si>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</si>
  <si>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</si>
  <si>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</si>
  <si>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</si>
  <si>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</si>
  <si>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</si>
  <si>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</si>
  <si>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</si>
  <si>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</si>
  <si>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</si>
  <si>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</si>
  <si>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</si>
  <si>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</si>
  <si>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</si>
  <si>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</si>
  <si>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</si>
  <si>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</si>
  <si>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</si>
  <si>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</si>
  <si>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</si>
  <si>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</si>
  <si>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</si>
  <si>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</si>
  <si>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</si>
  <si>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</si>
  <si>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</si>
  <si>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</si>
  <si>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</si>
  <si>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</si>
  <si>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</si>
  <si>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</si>
  <si>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</si>
  <si>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</si>
  <si>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</si>
  <si>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</si>
  <si>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</si>
  <si>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</si>
  <si>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</si>
  <si>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</si>
  <si>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</si>
  <si>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</si>
  <si>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</si>
  <si>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</si>
  <si>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</si>
  <si>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</si>
  <si>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</si>
  <si>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</si>
  <si>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</si>
  <si>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</si>
  <si>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</si>
  <si>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</si>
  <si>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</si>
  <si>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</si>
  <si>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</si>
  <si>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</si>
  <si>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</si>
  <si>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</si>
  <si>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</si>
  <si>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</si>
  <si>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</si>
  <si>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</si>
  <si>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</si>
  <si>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</si>
  <si>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</si>
  <si>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</si>
  <si>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</si>
  <si>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</si>
  <si>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</si>
  <si>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</si>
  <si>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</si>
  <si>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</si>
  <si>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</si>
  <si>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</si>
  <si>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</si>
  <si>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</si>
  <si>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</si>
  <si>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</si>
  <si>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</si>
  <si>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</si>
  <si>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</si>
  <si>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</si>
  <si>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</si>
  <si>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</si>
  <si>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</si>
  <si>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</si>
  <si>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</si>
  <si>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</si>
  <si>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</si>
  <si>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</si>
  <si>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</si>
  <si>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</si>
  <si>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</si>
  <si>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</si>
  <si>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</si>
  <si>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</si>
  <si>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</si>
  <si>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</si>
  <si>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</si>
  <si>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</si>
  <si>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</si>
  <si>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</si>
  <si>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</si>
  <si>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</si>
  <si>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</si>
  <si>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</si>
  <si>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</si>
  <si>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</si>
  <si>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</si>
  <si>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</si>
  <si>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</si>
  <si>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</si>
  <si>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</si>
  <si>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</si>
  <si>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</si>
  <si>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</si>
  <si>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</si>
  <si>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</si>
  <si>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</si>
  <si>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</si>
  <si>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</si>
  <si>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</si>
  <si>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</si>
  <si>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</si>
  <si>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</si>
  <si>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</si>
  <si>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</si>
  <si>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</si>
  <si>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</si>
  <si>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</si>
  <si>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</si>
  <si>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</si>
  <si>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</si>
  <si>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</si>
  <si>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</si>
  <si>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</si>
  <si>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</si>
  <si>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</si>
  <si>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</si>
  <si>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</si>
  <si>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</si>
  <si>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</si>
  <si>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</si>
  <si>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</si>
  <si>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</si>
  <si>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</si>
  <si>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</si>
  <si>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</si>
  <si>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</si>
  <si>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</si>
  <si>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</si>
  <si>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</si>
  <si>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</si>
  <si>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</si>
  <si>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</si>
  <si>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</si>
  <si>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</si>
  <si>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</si>
  <si>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</si>
  <si>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</si>
  <si>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</si>
  <si>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</si>
  <si>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</si>
  <si>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</si>
  <si>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</si>
  <si>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</si>
  <si>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</si>
  <si>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</si>
  <si>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</si>
  <si>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</si>
  <si>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</si>
  <si>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</si>
  <si>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</si>
  <si>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</si>
  <si>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</si>
  <si>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</si>
  <si>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</si>
  <si>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</si>
  <si>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</si>
  <si>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</si>
  <si>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</si>
  <si>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</si>
  <si>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</si>
  <si>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</si>
  <si>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</si>
  <si>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</si>
  <si>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</si>
  <si>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</si>
  <si>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</si>
  <si>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</si>
  <si>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</si>
  <si>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</si>
  <si>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</si>
  <si>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</si>
  <si>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</si>
  <si>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</si>
  <si>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</si>
  <si>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</si>
  <si>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</si>
  <si>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</si>
  <si>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</si>
  <si>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</si>
  <si>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</si>
  <si>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</si>
  <si>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</si>
  <si>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</si>
  <si>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</si>
  <si>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</si>
  <si>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</si>
  <si>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</si>
  <si>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</si>
  <si>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</si>
  <si>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</si>
  <si>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</si>
  <si>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</si>
  <si>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</si>
  <si>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</si>
  <si>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</si>
  <si>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</si>
  <si>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</si>
  <si>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</si>
  <si>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</si>
  <si>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</si>
  <si>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</si>
  <si>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</si>
  <si>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</si>
  <si>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</si>
  <si>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</si>
  <si>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</si>
  <si>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</si>
  <si>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</si>
  <si>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</si>
  <si>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</si>
  <si>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</si>
  <si>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</si>
  <si>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</si>
  <si>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</si>
  <si>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</si>
  <si>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</si>
  <si>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</si>
  <si>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</si>
  <si>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</si>
  <si>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</si>
  <si>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</si>
  <si>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</si>
  <si>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</si>
  <si>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</si>
  <si>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</si>
  <si>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</si>
  <si>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</si>
  <si>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</si>
  <si>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</si>
  <si>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</si>
  <si>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</si>
  <si>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</si>
  <si>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</si>
  <si>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</si>
  <si>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</si>
  <si>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</si>
  <si>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</si>
  <si>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</si>
  <si>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</si>
  <si>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</si>
  <si>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</si>
  <si>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</si>
  <si>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</si>
  <si>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</si>
  <si>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</si>
  <si>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</si>
  <si>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</si>
  <si>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</si>
  <si>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</si>
  <si>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</si>
  <si>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</si>
  <si>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</si>
  <si>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</si>
  <si>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</si>
  <si>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</si>
  <si>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</si>
  <si>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</si>
  <si>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</si>
  <si>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</si>
  <si>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</si>
  <si>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</si>
  <si>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</si>
  <si>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</si>
  <si>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</si>
  <si>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</si>
  <si>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</si>
  <si>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</si>
  <si>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</si>
  <si>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</si>
  <si>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</si>
  <si>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</si>
  <si>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</si>
  <si>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</si>
  <si>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</si>
  <si>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</si>
  <si>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</si>
  <si>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</si>
  <si>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</si>
  <si>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</si>
  <si>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</si>
  <si>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</si>
  <si>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</si>
  <si>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</si>
  <si>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</si>
  <si>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</si>
  <si>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</si>
  <si>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</si>
  <si>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</si>
  <si>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</si>
  <si>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</si>
  <si>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</si>
  <si>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</si>
  <si>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</si>
  <si>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</si>
  <si>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</si>
  <si>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</si>
  <si>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</si>
  <si>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</si>
  <si>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</si>
  <si>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</si>
  <si>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</si>
  <si>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</si>
  <si>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</si>
  <si>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</si>
  <si>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</si>
  <si>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</si>
  <si>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</si>
  <si>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</si>
  <si>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</si>
  <si>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</si>
  <si>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</si>
  <si>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</si>
  <si>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</si>
  <si>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</si>
  <si>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</si>
  <si>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</si>
  <si>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</si>
  <si>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</si>
  <si>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</si>
  <si>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</si>
  <si>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</si>
  <si>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</si>
  <si>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</si>
  <si>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</si>
  <si>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</si>
  <si>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</si>
  <si>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</si>
  <si>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</si>
  <si>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</si>
  <si>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</si>
  <si>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</si>
  <si>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</si>
  <si>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</si>
  <si>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</si>
  <si>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</si>
  <si>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</si>
  <si>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</si>
  <si>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</si>
  <si>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</si>
  <si>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</si>
  <si>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</si>
  <si>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</si>
  <si>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</si>
  <si>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</si>
  <si>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</si>
  <si>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</si>
  <si>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</si>
  <si>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</si>
  <si>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</si>
  <si>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</si>
  <si>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</si>
  <si>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</si>
  <si>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</si>
  <si>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</si>
  <si>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</si>
  <si>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</si>
  <si>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</si>
  <si>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</si>
  <si>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</si>
  <si>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</si>
  <si>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</si>
  <si>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</si>
  <si>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</si>
  <si>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</si>
  <si>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</si>
  <si>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</si>
  <si>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</si>
  <si>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</si>
  <si>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</si>
  <si>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</si>
  <si>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</si>
  <si>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</si>
  <si>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</si>
  <si>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</si>
  <si>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</si>
  <si>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</si>
  <si>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</si>
  <si>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</si>
  <si>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</si>
  <si>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</si>
  <si>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</si>
  <si>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</si>
  <si>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</si>
  <si>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</si>
  <si>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</si>
  <si>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</si>
  <si>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</si>
  <si>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</si>
  <si>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</si>
  <si>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</si>
  <si>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</si>
  <si>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</si>
  <si>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</si>
  <si>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</si>
  <si>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</si>
  <si>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</si>
  <si>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11/91 - 12/10</t>
  </si>
  <si>
    <t>04/40</t>
  </si>
  <si>
    <t>See attached page for details</t>
  </si>
  <si>
    <t>Audit adjustment of balance from 2012</t>
  </si>
  <si>
    <t>Concord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</si>
</sst>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9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915</v>
      </c>
      <c r="B2" s="21">
        <v>111</v>
      </c>
      <c r="C2" s="21">
        <v>111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7778020.86-7607</f>
        <v>7770413.8600000003</v>
      </c>
      <c r="G9" s="18">
        <f>-21940.32-1850.95</f>
        <v>-23791.27</v>
      </c>
      <c r="H9" s="18">
        <f>-207947.99+7607</f>
        <v>-200340.99</v>
      </c>
      <c r="I9" s="18">
        <v>191166.04</v>
      </c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>
        <v>2066349.98</v>
      </c>
      <c r="J10" s="67">
        <f>SUM(I440)</f>
        <v>4523459.96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91084244.47+43706</f>
        <v>91127950.469999999</v>
      </c>
      <c r="G12" s="18">
        <v>6378425.6299999999</v>
      </c>
      <c r="H12" s="18">
        <v>21518793.489999998</v>
      </c>
      <c r="I12" s="18">
        <v>63976891.18</v>
      </c>
      <c r="J12" s="67">
        <f>SUM(I441)</f>
        <v>-1162409.8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1238927.42</v>
      </c>
      <c r="G14" s="18">
        <f>90981.52-141.78</f>
        <v>90839.74</v>
      </c>
      <c r="H14" s="18">
        <v>720375.8</v>
      </c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22447.89</v>
      </c>
      <c r="G16" s="18">
        <v>28476.53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500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95700</v>
      </c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100255939.64</v>
      </c>
      <c r="G19" s="41">
        <f>SUM(G9:G18)</f>
        <v>6473950.6300000008</v>
      </c>
      <c r="H19" s="41">
        <f>SUM(H9:H18)</f>
        <v>22038828.300000001</v>
      </c>
      <c r="I19" s="41">
        <f>SUM(I9:I18)</f>
        <v>66234407.200000003</v>
      </c>
      <c r="J19" s="41">
        <f>SUM(J9:J18)</f>
        <v>3361050.16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90998404.980000004</v>
      </c>
      <c r="G22" s="18">
        <v>6556209.8799999999</v>
      </c>
      <c r="H22" s="18">
        <v>21817412.559999999</v>
      </c>
      <c r="I22" s="18">
        <f>64119819.6+43706+8534.7</f>
        <v>64172060.300000004</v>
      </c>
      <c r="J22" s="67">
        <f>SUM(I448)</f>
        <v>-1704496.4000000001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134758.24</v>
      </c>
      <c r="G24" s="18">
        <v>2434.75</v>
      </c>
      <c r="H24" s="18">
        <v>11955.01</v>
      </c>
      <c r="I24" s="18">
        <v>1019.98</v>
      </c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3821185.87</v>
      </c>
      <c r="G28" s="18">
        <v>12595.6</v>
      </c>
      <c r="H28" s="18">
        <v>7686.09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3096266.14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12777.25</v>
      </c>
      <c r="G30" s="18">
        <f>23579.31+1217.96</f>
        <v>24797.27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300</v>
      </c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98063692.480000004</v>
      </c>
      <c r="G32" s="41">
        <f>SUM(G22:G31)</f>
        <v>6596037.4999999991</v>
      </c>
      <c r="H32" s="41">
        <f>SUM(H22:H31)</f>
        <v>21837053.66</v>
      </c>
      <c r="I32" s="41">
        <f>SUM(I22:I31)</f>
        <v>64173080.280000001</v>
      </c>
      <c r="J32" s="41">
        <f>SUM(J22:J31)</f>
        <v>-1704496.4000000001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65448.36</v>
      </c>
      <c r="G45" s="18">
        <v>3808.8</v>
      </c>
      <c r="H45" s="18">
        <v>6666.8</v>
      </c>
      <c r="I45" s="18">
        <v>14595.94</v>
      </c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f>22447.89+500</f>
        <v>22947.89</v>
      </c>
      <c r="G48" s="18">
        <v>-125895.67</v>
      </c>
      <c r="H48" s="18">
        <f>422437.06+1221636.24+5022500.03-6479072.49+7607</f>
        <v>195107.83999999985</v>
      </c>
      <c r="I48" s="18">
        <f>8994646.99+192494033.74-199274261.78-115447.27-43706-8534.7</f>
        <v>2046730.9800000179</v>
      </c>
      <c r="J48" s="13">
        <f>SUM(I459)</f>
        <v>5065546.5600000005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2068251.91-500-7607+43706</f>
        <v>2103850.91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2192247.16</v>
      </c>
      <c r="G51" s="41">
        <f>SUM(G35:G50)</f>
        <v>-122086.87</v>
      </c>
      <c r="H51" s="41">
        <f>SUM(H35:H50)</f>
        <v>201774.63999999984</v>
      </c>
      <c r="I51" s="41">
        <f>SUM(I35:I50)</f>
        <v>2061326.9200000179</v>
      </c>
      <c r="J51" s="41">
        <f>SUM(J35:J50)</f>
        <v>5065546.5600000005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100255939.64</v>
      </c>
      <c r="G52" s="41">
        <f>G51+G32</f>
        <v>6473950.629999999</v>
      </c>
      <c r="H52" s="41">
        <f>H51+H32</f>
        <v>22038828.300000001</v>
      </c>
      <c r="I52" s="41">
        <f>I51+I32</f>
        <v>66234407.200000018</v>
      </c>
      <c r="J52" s="41">
        <f>J51+J32</f>
        <v>3361050.16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38120708.880000003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38120708.880000003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f>131889.74+103296</f>
        <v>235185.74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15830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>
        <v>157955.79999999999</v>
      </c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f>2712607.92</f>
        <v>2712607.92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f>570699.42+54538.25</f>
        <v>625237.67000000004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>
        <v>480240.37</v>
      </c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4227057.5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>
        <v>8920</v>
      </c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>
        <v>7592.13</v>
      </c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>
        <v>153393.73000000001</v>
      </c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169905.86000000002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0.51</v>
      </c>
      <c r="G96" s="18">
        <v>9.7799999999999994</v>
      </c>
      <c r="H96" s="18"/>
      <c r="I96" s="18">
        <v>210.77</v>
      </c>
      <c r="J96" s="18">
        <f>466.52+31.16</f>
        <v>497.68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346462.3+16092.55+3739.05+219758.8+7360.06</f>
        <v>593412.76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f>18312+104162+3188.45</f>
        <v>125662.45</v>
      </c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161228.94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v>94700.45</v>
      </c>
      <c r="I102" s="18"/>
      <c r="J102" s="18">
        <v>7764.59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2948.41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155069.14000000001</v>
      </c>
      <c r="G110" s="18">
        <v>2934.82</v>
      </c>
      <c r="H110" s="18">
        <v>4907.5</v>
      </c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444909.45</v>
      </c>
      <c r="G111" s="41">
        <f>SUM(G96:G110)</f>
        <v>596357.36</v>
      </c>
      <c r="H111" s="41">
        <f>SUM(H96:H110)</f>
        <v>99607.95</v>
      </c>
      <c r="I111" s="41">
        <f>SUM(I96:I110)</f>
        <v>210.77</v>
      </c>
      <c r="J111" s="41">
        <f>SUM(J96:J110)</f>
        <v>8262.27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42962581.690000005</v>
      </c>
      <c r="G112" s="41">
        <f>G60+G111</f>
        <v>596357.36</v>
      </c>
      <c r="H112" s="41">
        <f>H60+H79+H94+H111</f>
        <v>99607.95</v>
      </c>
      <c r="I112" s="41">
        <f>I60+I111</f>
        <v>210.77</v>
      </c>
      <c r="J112" s="41">
        <f>J60+J111</f>
        <v>8262.27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13302671.949999999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8031554.1200000001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21334226.07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1383508.26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373439.64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f>1060043.85</f>
        <v>1060043.8500000001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>
        <v>54545.84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21893.63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>
        <f>94789.56-29515.26</f>
        <v>65274.3</v>
      </c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2816991.75</v>
      </c>
      <c r="G136" s="41">
        <f>SUM(G123:G135)</f>
        <v>21893.63</v>
      </c>
      <c r="H136" s="41">
        <f>SUM(H123:H135)</f>
        <v>119820.14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24151217.82</v>
      </c>
      <c r="G140" s="41">
        <f>G121+SUM(G136:G137)</f>
        <v>21893.63</v>
      </c>
      <c r="H140" s="41">
        <f>H121+SUM(H136:H139)</f>
        <v>119820.14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>
        <v>869300.6</v>
      </c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869300.6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1308780.19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772188.27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>
        <v>324975.81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>
        <f>42628.8-54545.84+29515.26</f>
        <v>17598.220000000005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f>948632.66+39039.44-3210.69</f>
        <v>984461.41000000015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1081775.28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1136367.33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>
        <v>50073.3</v>
      </c>
      <c r="G161" s="18"/>
      <c r="H161" s="18">
        <v>53001.93</v>
      </c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1186440.6300000001</v>
      </c>
      <c r="G162" s="41">
        <f>SUM(G150:G161)</f>
        <v>984461.41000000015</v>
      </c>
      <c r="H162" s="41">
        <f>SUM(H150:H161)</f>
        <v>3558319.7000000007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2055741.23</v>
      </c>
      <c r="G169" s="41">
        <f>G147+G162+SUM(G163:G168)</f>
        <v>984461.41000000015</v>
      </c>
      <c r="H169" s="41">
        <f>H147+H162+SUM(H163:H168)</f>
        <v>3558319.7000000007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4472.34</v>
      </c>
      <c r="H179" s="18"/>
      <c r="I179" s="18"/>
      <c r="J179" s="18">
        <v>1029702.62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>
        <v>94564.52</v>
      </c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94564.52</v>
      </c>
      <c r="G183" s="41">
        <f>SUM(G179:G182)</f>
        <v>4472.34</v>
      </c>
      <c r="H183" s="41">
        <f>SUM(H179:H182)</f>
        <v>0</v>
      </c>
      <c r="I183" s="41">
        <f>SUM(I179:I182)</f>
        <v>0</v>
      </c>
      <c r="J183" s="41">
        <f>SUM(J179:J182)</f>
        <v>1029702.62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2181500</v>
      </c>
      <c r="G186" s="18"/>
      <c r="H186" s="18"/>
      <c r="I186" s="18">
        <f>125042.73-8534.7</f>
        <v>116508.03</v>
      </c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2181500</v>
      </c>
      <c r="G188" s="41">
        <f>SUM(G185:G187)</f>
        <v>0</v>
      </c>
      <c r="H188" s="41">
        <f>SUM(H185:H187)</f>
        <v>0</v>
      </c>
      <c r="I188" s="41">
        <f>SUM(I185:I187)</f>
        <v>116508.03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>
        <v>549775</v>
      </c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2825839.52</v>
      </c>
      <c r="G192" s="41">
        <f>G183+SUM(G188:G191)</f>
        <v>4472.34</v>
      </c>
      <c r="H192" s="41">
        <f>+H183+SUM(H188:H191)</f>
        <v>0</v>
      </c>
      <c r="I192" s="41">
        <f>I177+I183+SUM(I188:I191)</f>
        <v>116508.03</v>
      </c>
      <c r="J192" s="41">
        <f>J183</f>
        <v>1029702.62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71995380.260000005</v>
      </c>
      <c r="G193" s="47">
        <f>G112+G140+G169+G192</f>
        <v>1607184.7400000002</v>
      </c>
      <c r="H193" s="47">
        <f>H112+H140+H169+H192</f>
        <v>3777747.7900000005</v>
      </c>
      <c r="I193" s="47">
        <f>I112+I140+I169+I192</f>
        <v>116718.8</v>
      </c>
      <c r="J193" s="47">
        <f>J112+J140+J192</f>
        <v>1037964.89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7675617.95+11804.01+143668.09</f>
        <v>7831090.0499999998</v>
      </c>
      <c r="G197" s="18">
        <f>3267855.02+1460.92+199622.46-0.01</f>
        <v>3468938.39</v>
      </c>
      <c r="H197" s="18">
        <f>96773.69+852.75</f>
        <v>97626.44</v>
      </c>
      <c r="I197" s="18">
        <f>223409.88+4377.36</f>
        <v>227787.24</v>
      </c>
      <c r="J197" s="18">
        <v>5756.03</v>
      </c>
      <c r="K197" s="18">
        <v>100</v>
      </c>
      <c r="L197" s="19">
        <f>SUM(F197:K197)</f>
        <v>11631298.149999999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1940367.71+997059.32+232356.98+17894.59</f>
        <v>3187678.5999999996</v>
      </c>
      <c r="G198" s="18">
        <f>640384.53+336634.31+59230.49+1381.29+82416.19</f>
        <v>1120046.81</v>
      </c>
      <c r="H198" s="18">
        <f>164270.75+196031.25+4910.54+54318.34</f>
        <v>419530.88</v>
      </c>
      <c r="I198" s="18">
        <f>3862.18+4471.23+1024.14+185.01</f>
        <v>9542.56</v>
      </c>
      <c r="J198" s="18">
        <f>1137.15</f>
        <v>1137.1500000000001</v>
      </c>
      <c r="K198" s="18"/>
      <c r="L198" s="19">
        <f>SUM(F198:K198)</f>
        <v>4737936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f>13038.75+59368.49</f>
        <v>72407.239999999991</v>
      </c>
      <c r="G200" s="18">
        <f>2737.76+26721.32+354.1</f>
        <v>29813.18</v>
      </c>
      <c r="H200" s="18"/>
      <c r="I200" s="18"/>
      <c r="J200" s="18"/>
      <c r="K200" s="18"/>
      <c r="L200" s="19">
        <f>SUM(F200:K200)</f>
        <v>102220.41999999998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350917.88+281048.99+156242.52+692923.53+232103.95+65134.33</f>
        <v>1778371.2</v>
      </c>
      <c r="G202" s="18">
        <f>152617.1+129916.2+62635.33+255220.03+88913.32+18148.45+44527.76</f>
        <v>751978.19</v>
      </c>
      <c r="H202" s="18">
        <f>3068.51+157296.21+38916.34</f>
        <v>199281.06</v>
      </c>
      <c r="I202" s="18">
        <f>948.54+6594.73+5879.96+7684.77</f>
        <v>21108</v>
      </c>
      <c r="J202" s="18">
        <f>4072.7</f>
        <v>4072.7</v>
      </c>
      <c r="K202" s="18">
        <f>47.5</f>
        <v>47.5</v>
      </c>
      <c r="L202" s="19">
        <f t="shared" ref="L202:L208" si="0">SUM(F202:K202)</f>
        <v>2754858.65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244863.98+132151.54+215857.52</f>
        <v>592873.04</v>
      </c>
      <c r="G203" s="18">
        <f>111808.16+47387.69+159763.26+9826.21</f>
        <v>328785.32</v>
      </c>
      <c r="H203" s="18">
        <f>1675.57+261165.33</f>
        <v>262840.89999999997</v>
      </c>
      <c r="I203" s="18">
        <f>12016.27+1238.9+1873.06+99110.99</f>
        <v>114239.22</v>
      </c>
      <c r="J203" s="18">
        <f>11168.98+6836.7</f>
        <v>18005.68</v>
      </c>
      <c r="K203" s="18"/>
      <c r="L203" s="19">
        <f t="shared" si="0"/>
        <v>1316744.1599999999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f>218196.07</f>
        <v>218196.07</v>
      </c>
      <c r="G204" s="18">
        <f>90270.48</f>
        <v>90270.48</v>
      </c>
      <c r="H204" s="18">
        <f>95184.16</f>
        <v>95184.16</v>
      </c>
      <c r="I204" s="18">
        <f>12440.95</f>
        <v>12440.95</v>
      </c>
      <c r="J204" s="18">
        <f>672</f>
        <v>672</v>
      </c>
      <c r="K204" s="18">
        <f>4420.28</f>
        <v>4420.28</v>
      </c>
      <c r="L204" s="19">
        <f t="shared" si="0"/>
        <v>421183.94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694739.52</v>
      </c>
      <c r="G205" s="18">
        <f>326957.33+18058.97</f>
        <v>345016.30000000005</v>
      </c>
      <c r="H205" s="18">
        <v>9391.83</v>
      </c>
      <c r="I205" s="18">
        <v>3059.45</v>
      </c>
      <c r="J205" s="18">
        <v>515</v>
      </c>
      <c r="K205" s="18">
        <v>4127</v>
      </c>
      <c r="L205" s="19">
        <f t="shared" si="0"/>
        <v>1056849.1000000001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f>195047.75</f>
        <v>195047.75</v>
      </c>
      <c r="G206" s="18">
        <f>87233.65</f>
        <v>87233.65</v>
      </c>
      <c r="H206" s="18">
        <f>6010.91</f>
        <v>6010.91</v>
      </c>
      <c r="I206" s="18">
        <f>1669.67</f>
        <v>1669.67</v>
      </c>
      <c r="J206" s="18">
        <f>1150.97</f>
        <v>1150.97</v>
      </c>
      <c r="K206" s="18">
        <f>904.99</f>
        <v>904.99</v>
      </c>
      <c r="L206" s="19">
        <f t="shared" si="0"/>
        <v>292017.93999999994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f>592797.32+179782.88</f>
        <v>772580.2</v>
      </c>
      <c r="G207" s="18">
        <f>288748.71+86046.4+15403.24</f>
        <v>390198.35</v>
      </c>
      <c r="H207" s="18">
        <f>2041.95+284617.42+203134.82</f>
        <v>489794.19</v>
      </c>
      <c r="I207" s="18">
        <f>36431.31+643726.49+42297.05</f>
        <v>722454.85000000009</v>
      </c>
      <c r="J207" s="18">
        <f>11620.61+2238.32</f>
        <v>13858.93</v>
      </c>
      <c r="K207" s="18">
        <f>138.34</f>
        <v>138.34</v>
      </c>
      <c r="L207" s="19">
        <f t="shared" si="0"/>
        <v>2389024.86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f>531.82+633065.29</f>
        <v>633597.11</v>
      </c>
      <c r="G208" s="18">
        <f>46.61+210209.27</f>
        <v>210255.87999999998</v>
      </c>
      <c r="H208" s="18">
        <f>1436.16+18673.92+196066.32</f>
        <v>216176.4</v>
      </c>
      <c r="I208" s="18">
        <f>166891.82</f>
        <v>166891.82</v>
      </c>
      <c r="J208" s="18">
        <f>6146.37</f>
        <v>6146.37</v>
      </c>
      <c r="K208" s="18">
        <f>738.45</f>
        <v>738.45</v>
      </c>
      <c r="L208" s="19">
        <f t="shared" si="0"/>
        <v>1233806.03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f>125149.54</f>
        <v>125149.54</v>
      </c>
      <c r="G209" s="18">
        <f>58360.73</f>
        <v>58360.73</v>
      </c>
      <c r="H209" s="18">
        <f>29567.81</f>
        <v>29567.81</v>
      </c>
      <c r="I209" s="18">
        <f>2761.39</f>
        <v>2761.39</v>
      </c>
      <c r="J209" s="18">
        <f>92.36</f>
        <v>92.36</v>
      </c>
      <c r="K209" s="18"/>
      <c r="L209" s="19">
        <f>SUM(F209:K209)</f>
        <v>215931.83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16101730.319999997</v>
      </c>
      <c r="G211" s="41">
        <f t="shared" si="1"/>
        <v>6880897.2800000012</v>
      </c>
      <c r="H211" s="41">
        <f t="shared" si="1"/>
        <v>1825404.5799999998</v>
      </c>
      <c r="I211" s="41">
        <f t="shared" si="1"/>
        <v>1281955.1500000001</v>
      </c>
      <c r="J211" s="41">
        <f t="shared" si="1"/>
        <v>51407.19000000001</v>
      </c>
      <c r="K211" s="41">
        <f t="shared" si="1"/>
        <v>10476.56</v>
      </c>
      <c r="L211" s="41">
        <f t="shared" si="1"/>
        <v>26151871.080000002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f>4192979.28+5518.9+72108.87</f>
        <v>4270607.05</v>
      </c>
      <c r="G215" s="18">
        <f>1674485.34+683.04+109062.03</f>
        <v>1784230.4100000001</v>
      </c>
      <c r="H215" s="18">
        <f>40476.8+398.7</f>
        <v>40875.5</v>
      </c>
      <c r="I215" s="18">
        <f>68745.52+2046.61</f>
        <v>70792.13</v>
      </c>
      <c r="J215" s="18">
        <v>5013.16</v>
      </c>
      <c r="K215" s="18"/>
      <c r="L215" s="19">
        <f>SUM(F215:K215)</f>
        <v>6171518.25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f>590536.56+583795.46+105229.61+7146.53</f>
        <v>1286708.1600000001</v>
      </c>
      <c r="G216" s="18">
        <f>155070.66+263589.73+32926.93+551.65+33285.16</f>
        <v>485424.13</v>
      </c>
      <c r="H216" s="18">
        <f>484392.5+18111+1800+21693.03</f>
        <v>525996.53</v>
      </c>
      <c r="I216" s="18">
        <f>3591.86+615.75+73.89</f>
        <v>4281.5000000000009</v>
      </c>
      <c r="J216" s="18">
        <f>454.14</f>
        <v>454.14</v>
      </c>
      <c r="K216" s="18"/>
      <c r="L216" s="19">
        <f>SUM(F216:K216)</f>
        <v>2302864.4600000004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f>15286+61837+27757.39</f>
        <v>104880.39</v>
      </c>
      <c r="G218" s="18">
        <f>3047.9+11270.63+12493.4+2036.06</f>
        <v>28847.99</v>
      </c>
      <c r="H218" s="18">
        <f>12394.81</f>
        <v>12394.81</v>
      </c>
      <c r="I218" s="18">
        <f>4821.8</f>
        <v>4821.8</v>
      </c>
      <c r="J218" s="18">
        <f>35.85</f>
        <v>35.85</v>
      </c>
      <c r="K218" s="18">
        <f>3332</f>
        <v>3332</v>
      </c>
      <c r="L218" s="19">
        <f>SUM(F218:K218)</f>
        <v>154312.84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f>256375.88+72732.46+59725.18+71507.28+27350.4+26209.5</f>
        <v>513900.70000000007</v>
      </c>
      <c r="G220" s="18">
        <f>95103.54+36870.1+34282.8+27556.47+2092.22+7262.98+12658.99</f>
        <v>215827.1</v>
      </c>
      <c r="H220" s="18">
        <f>1711.09+12767.58+15675.75</f>
        <v>30154.42</v>
      </c>
      <c r="I220" s="18">
        <f>557.81+1857.87+627.17+3069.06</f>
        <v>6111.91</v>
      </c>
      <c r="J220" s="18">
        <f>1626.51</f>
        <v>1626.51</v>
      </c>
      <c r="K220" s="18">
        <f>18.97</f>
        <v>18.97</v>
      </c>
      <c r="L220" s="19">
        <f t="shared" ref="L220:L226" si="2">SUM(F220:K220)</f>
        <v>767639.6100000001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f>14596+198454.56+98201.92</f>
        <v>311252.47999999998</v>
      </c>
      <c r="G221" s="18">
        <f>3183.4+78522.68+70286.6+5577.04</f>
        <v>157569.72</v>
      </c>
      <c r="H221" s="18">
        <f>1012.7+121596.84</f>
        <v>122609.54</v>
      </c>
      <c r="I221" s="18">
        <f>12455.08+975.91+3370.83+46165.6</f>
        <v>62967.42</v>
      </c>
      <c r="J221" s="18">
        <f>291.19+4033.37+3196.46</f>
        <v>7521.0199999999995</v>
      </c>
      <c r="K221" s="18"/>
      <c r="L221" s="19">
        <f t="shared" si="2"/>
        <v>661920.18000000005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f>102016.32</f>
        <v>102016.32000000001</v>
      </c>
      <c r="G222" s="18">
        <f>42205.45</f>
        <v>42205.45</v>
      </c>
      <c r="H222" s="18">
        <f>44502.8</f>
        <v>44502.8</v>
      </c>
      <c r="I222" s="18">
        <f>5816.69</f>
        <v>5816.69</v>
      </c>
      <c r="J222" s="18">
        <f>314.19</f>
        <v>314.19</v>
      </c>
      <c r="K222" s="18">
        <f>2066.68</f>
        <v>2066.6799999999998</v>
      </c>
      <c r="L222" s="19">
        <f t="shared" si="2"/>
        <v>196922.13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f>614222.11</f>
        <v>614222.11</v>
      </c>
      <c r="G223" s="18">
        <f>273622.09+15934.39</f>
        <v>289556.48000000004</v>
      </c>
      <c r="H223" s="18">
        <f>17290.77</f>
        <v>17290.77</v>
      </c>
      <c r="I223" s="18">
        <f>11887.03</f>
        <v>11887.03</v>
      </c>
      <c r="J223" s="18">
        <f>0</f>
        <v>0</v>
      </c>
      <c r="K223" s="18">
        <f>3672.5</f>
        <v>3672.5</v>
      </c>
      <c r="L223" s="19">
        <f t="shared" si="2"/>
        <v>936628.89000000013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f>83171.62</f>
        <v>83171.62</v>
      </c>
      <c r="G224" s="18">
        <f>37197.89</f>
        <v>37197.89</v>
      </c>
      <c r="H224" s="18">
        <f>2563.15</f>
        <v>2563.15</v>
      </c>
      <c r="I224" s="18">
        <f>711.97</f>
        <v>711.97</v>
      </c>
      <c r="J224" s="18">
        <f>490.79</f>
        <v>490.79</v>
      </c>
      <c r="K224" s="18">
        <f>385.91</f>
        <v>385.91</v>
      </c>
      <c r="L224" s="19">
        <f t="shared" si="2"/>
        <v>124521.32999999999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f>280536.84+94682.49</f>
        <v>375219.33</v>
      </c>
      <c r="G225" s="18">
        <f>141275.14+45316.26+7259</f>
        <v>193850.40000000002</v>
      </c>
      <c r="H225" s="18">
        <f>613.96+106583.83+106980.77</f>
        <v>214178.56</v>
      </c>
      <c r="I225" s="18">
        <f>23820.22+348632.14+22275.71</f>
        <v>394728.07</v>
      </c>
      <c r="J225" s="18">
        <f>9044.04+1178.81</f>
        <v>10222.85</v>
      </c>
      <c r="K225" s="18">
        <f>72.85</f>
        <v>72.849999999999994</v>
      </c>
      <c r="L225" s="19">
        <f t="shared" si="2"/>
        <v>1188272.0600000003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f>295986.04</f>
        <v>295986.03999999998</v>
      </c>
      <c r="G226" s="18">
        <f>98282.14</f>
        <v>98282.14</v>
      </c>
      <c r="H226" s="18">
        <f>21294.32+9335.04+91669.67</f>
        <v>122299.03</v>
      </c>
      <c r="I226" s="18">
        <f>78029.31</f>
        <v>78029.31</v>
      </c>
      <c r="J226" s="18">
        <f>2873.7</f>
        <v>2873.7</v>
      </c>
      <c r="K226" s="18">
        <f>345.25</f>
        <v>345.25</v>
      </c>
      <c r="L226" s="19">
        <f t="shared" si="2"/>
        <v>597815.47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>
        <f>53365.85</f>
        <v>53365.85</v>
      </c>
      <c r="G227" s="18">
        <f>24885.99</f>
        <v>24885.99</v>
      </c>
      <c r="H227" s="18">
        <f>12608.21</f>
        <v>12608.21</v>
      </c>
      <c r="I227" s="18">
        <f>1177.51</f>
        <v>1177.51</v>
      </c>
      <c r="J227" s="18">
        <f>39.38</f>
        <v>39.380000000000003</v>
      </c>
      <c r="K227" s="18"/>
      <c r="L227" s="19">
        <f>SUM(F227:K227)</f>
        <v>92076.939999999988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8011330.0499999998</v>
      </c>
      <c r="G229" s="41">
        <f>SUM(G215:G228)</f>
        <v>3357877.7000000011</v>
      </c>
      <c r="H229" s="41">
        <f>SUM(H215:H228)</f>
        <v>1145473.3200000003</v>
      </c>
      <c r="I229" s="41">
        <f>SUM(I215:I228)</f>
        <v>641325.34000000008</v>
      </c>
      <c r="J229" s="41">
        <f>SUM(J215:J228)</f>
        <v>28591.590000000004</v>
      </c>
      <c r="K229" s="41">
        <f t="shared" si="3"/>
        <v>9894.16</v>
      </c>
      <c r="L229" s="41">
        <f t="shared" si="3"/>
        <v>13194492.160000002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f>6162861.3+9467.86+125529.22+2233</f>
        <v>6300091.3799999999</v>
      </c>
      <c r="G233" s="18">
        <f>2568753.9+1171.78+160317.64-0.01</f>
        <v>2730243.31</v>
      </c>
      <c r="H233" s="18">
        <f>410391.35+683.98</f>
        <v>411075.32999999996</v>
      </c>
      <c r="I233" s="18">
        <f>132128.94+3511.03</f>
        <v>135639.97</v>
      </c>
      <c r="J233" s="18">
        <f>18562.52</f>
        <v>18562.52</v>
      </c>
      <c r="K233" s="18">
        <f>740</f>
        <v>740</v>
      </c>
      <c r="L233" s="19">
        <f>SUM(F233:K233)</f>
        <v>9596352.5099999998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f>1211283.84+1395824.35+152142.18+12631.7</f>
        <v>2771882.0700000008</v>
      </c>
      <c r="G234" s="18">
        <f>413465.96+607595.54+67772.63+975.05+71793.27</f>
        <v>1161602.45</v>
      </c>
      <c r="H234" s="18">
        <f>898398.69+24252.99+1496.25+38343.03</f>
        <v>962490.96</v>
      </c>
      <c r="I234" s="18">
        <f>1593.61+10861.98+4594.22+130.6</f>
        <v>17180.41</v>
      </c>
      <c r="J234" s="18">
        <f>149.99+180.96</f>
        <v>330.95000000000005</v>
      </c>
      <c r="K234" s="18">
        <f>370.9</f>
        <v>370.9</v>
      </c>
      <c r="L234" s="19">
        <f>SUM(F234:K234)</f>
        <v>4913857.7400000012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f>86055.81+87223.64+19910.54+170548.91+302998.89</f>
        <v>666737.79</v>
      </c>
      <c r="G235" s="18">
        <f>36366.74+39303.42+1523.16+75186.93+114022.69+17350.78</f>
        <v>283753.71999999997</v>
      </c>
      <c r="H235" s="18">
        <f>940.21+3447.21+1680.26</f>
        <v>6067.68</v>
      </c>
      <c r="I235" s="18">
        <f>9734.05+540.6+158.96+11543.46+23250.06</f>
        <v>45227.130000000005</v>
      </c>
      <c r="J235" s="18">
        <f>0+802.71</f>
        <v>802.71</v>
      </c>
      <c r="K235" s="18">
        <f>430+475</f>
        <v>905</v>
      </c>
      <c r="L235" s="19">
        <f>SUM(F235:K235)</f>
        <v>1003494.03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f>54739+241171+7381.5+47618.75</f>
        <v>350910.25</v>
      </c>
      <c r="G236" s="18">
        <f>11108.5+34901.96+1008.14+21432.86+7878.67</f>
        <v>76330.12999999999</v>
      </c>
      <c r="H236" s="18">
        <f>127080.92</f>
        <v>127080.92</v>
      </c>
      <c r="I236" s="18">
        <f>20156.52</f>
        <v>20156.52</v>
      </c>
      <c r="J236" s="18">
        <f>6007.53</f>
        <v>6007.53</v>
      </c>
      <c r="K236" s="18">
        <f>18554</f>
        <v>18554</v>
      </c>
      <c r="L236" s="19">
        <f>SUM(F236:K236)</f>
        <v>599039.35000000009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f>553751.43+99392.43+147350.05+99193.11+46501.78+5870.77+32702.26+46255.8</f>
        <v>1031017.6300000002</v>
      </c>
      <c r="G238" s="18">
        <f>235505.45+60023.36+40865.1+44091.54+16377.56+449.14+11908.77+12832.15+25583.54</f>
        <v>447636.61</v>
      </c>
      <c r="H238" s="18">
        <f>192.43+401.15+33361.56+27659.61</f>
        <v>61614.75</v>
      </c>
      <c r="I238" s="18">
        <f>1917.38+1469.09+5424.64</f>
        <v>8811.11</v>
      </c>
      <c r="J238" s="18">
        <f>499.99+2874.9</f>
        <v>3374.8900000000003</v>
      </c>
      <c r="K238" s="18">
        <f>409+70+33.53</f>
        <v>512.53</v>
      </c>
      <c r="L238" s="19">
        <f t="shared" ref="L238:L244" si="4">SUM(F238:K238)</f>
        <v>1552967.5200000003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f>127259.05+1018.08+168254.3</f>
        <v>296531.43</v>
      </c>
      <c r="G239" s="18">
        <f>62464.24+187.53+120231.53+3363.93</f>
        <v>186247.22999999998</v>
      </c>
      <c r="H239" s="18">
        <f>3972.06+208563.37</f>
        <v>212535.43</v>
      </c>
      <c r="I239" s="18">
        <f>17217.7+1123.7+2757.85+79185.01</f>
        <v>100284.26</v>
      </c>
      <c r="J239" s="18">
        <f>996+1762.27+37462+5483.63</f>
        <v>45703.899999999994</v>
      </c>
      <c r="K239" s="18">
        <f>279.96</f>
        <v>279.95999999999998</v>
      </c>
      <c r="L239" s="19">
        <f t="shared" si="4"/>
        <v>841582.21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f>175012.47</f>
        <v>175012.47</v>
      </c>
      <c r="G240" s="18">
        <f>72404.88</f>
        <v>72404.88</v>
      </c>
      <c r="H240" s="18">
        <f>76346.08</f>
        <v>76346.080000000002</v>
      </c>
      <c r="I240" s="18">
        <f>9978.73</f>
        <v>9978.73</v>
      </c>
      <c r="J240" s="18">
        <f>539</f>
        <v>539</v>
      </c>
      <c r="K240" s="18">
        <f>3545.46</f>
        <v>3545.46</v>
      </c>
      <c r="L240" s="19">
        <f t="shared" si="4"/>
        <v>337826.62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f>952115.41</f>
        <v>952115.41</v>
      </c>
      <c r="G241" s="18">
        <f>415850.67+24786.82</f>
        <v>440637.49</v>
      </c>
      <c r="H241" s="18">
        <f>35818.8+11310.09</f>
        <v>47128.89</v>
      </c>
      <c r="I241" s="18">
        <f>10611.47+820.7</f>
        <v>11432.17</v>
      </c>
      <c r="J241" s="18">
        <f>0</f>
        <v>0</v>
      </c>
      <c r="K241" s="18">
        <f>9714.26</f>
        <v>9714.26</v>
      </c>
      <c r="L241" s="19">
        <f t="shared" si="4"/>
        <v>1461028.2199999997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f>142051.58</f>
        <v>142051.57999999999</v>
      </c>
      <c r="G242" s="18">
        <f>63531.51</f>
        <v>63531.51</v>
      </c>
      <c r="H242" s="18">
        <f>4377.7</f>
        <v>4377.7</v>
      </c>
      <c r="I242" s="18">
        <f>1216.01</f>
        <v>1216.01</v>
      </c>
      <c r="J242" s="18">
        <f>838.24</f>
        <v>838.24</v>
      </c>
      <c r="K242" s="18">
        <f>659.1</f>
        <v>659.1</v>
      </c>
      <c r="L242" s="19">
        <f t="shared" si="4"/>
        <v>212674.14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f>478112.82+199895.8</f>
        <v>678008.62</v>
      </c>
      <c r="G243" s="18">
        <f>159729.68+95672.7+12393.41</f>
        <v>267795.78999999998</v>
      </c>
      <c r="H243" s="18">
        <f>1001.57+179312.6+225860.19</f>
        <v>406174.36</v>
      </c>
      <c r="I243" s="18">
        <f>43005.78+1212600.12+47028.97</f>
        <v>1302634.8700000001</v>
      </c>
      <c r="J243" s="18">
        <f>10116.44+2488.73</f>
        <v>12605.17</v>
      </c>
      <c r="K243" s="18">
        <f>0+153.81</f>
        <v>153.81</v>
      </c>
      <c r="L243" s="19">
        <f t="shared" si="4"/>
        <v>2667372.62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f>507774.09</f>
        <v>507774.09</v>
      </c>
      <c r="G244" s="18">
        <f>168606.37</f>
        <v>168606.37</v>
      </c>
      <c r="H244" s="18">
        <f>2922.24+108366.75+18958.08+157262.45</f>
        <v>287509.52</v>
      </c>
      <c r="I244" s="18">
        <f>133861.93</f>
        <v>133861.93</v>
      </c>
      <c r="J244" s="18">
        <f>4929.93</f>
        <v>4929.93</v>
      </c>
      <c r="K244" s="18">
        <f>592.3</f>
        <v>592.29999999999995</v>
      </c>
      <c r="L244" s="19">
        <f t="shared" si="4"/>
        <v>1103274.1399999999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>
        <f>91145.32</f>
        <v>91145.32</v>
      </c>
      <c r="G245" s="18">
        <f>42503.62</f>
        <v>42503.62</v>
      </c>
      <c r="H245" s="18">
        <f>21533.98</f>
        <v>21533.98</v>
      </c>
      <c r="I245" s="18">
        <f>2011.1</f>
        <v>2011.1</v>
      </c>
      <c r="J245" s="18">
        <f>67.26</f>
        <v>67.260000000000005</v>
      </c>
      <c r="K245" s="18"/>
      <c r="L245" s="19">
        <f>SUM(F245:K245)</f>
        <v>157261.28000000003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13963278.040000003</v>
      </c>
      <c r="G247" s="41">
        <f t="shared" si="5"/>
        <v>5941293.1099999994</v>
      </c>
      <c r="H247" s="41">
        <f t="shared" si="5"/>
        <v>2623935.5999999996</v>
      </c>
      <c r="I247" s="41">
        <f t="shared" si="5"/>
        <v>1788434.2100000002</v>
      </c>
      <c r="J247" s="41">
        <f t="shared" si="5"/>
        <v>93762.099999999991</v>
      </c>
      <c r="K247" s="41">
        <f t="shared" si="5"/>
        <v>36027.32</v>
      </c>
      <c r="L247" s="41">
        <f t="shared" si="5"/>
        <v>24446730.380000003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>
        <f>222219.33</f>
        <v>222219.33</v>
      </c>
      <c r="G251" s="18">
        <f>51226.72+5754.08</f>
        <v>56980.800000000003</v>
      </c>
      <c r="H251" s="18">
        <f>115344.49</f>
        <v>115344.49</v>
      </c>
      <c r="I251" s="18">
        <f>6067.9</f>
        <v>6067.9</v>
      </c>
      <c r="J251" s="18"/>
      <c r="K251" s="18">
        <f>7431.06</f>
        <v>7431.06</v>
      </c>
      <c r="L251" s="19">
        <f t="shared" si="6"/>
        <v>408043.58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f>80125+120958+244620.62</f>
        <v>445703.62</v>
      </c>
      <c r="I255" s="18"/>
      <c r="J255" s="18"/>
      <c r="K255" s="18"/>
      <c r="L255" s="19">
        <f t="shared" si="6"/>
        <v>445703.62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222219.33</v>
      </c>
      <c r="G256" s="41">
        <f t="shared" si="7"/>
        <v>56980.800000000003</v>
      </c>
      <c r="H256" s="41">
        <f t="shared" si="7"/>
        <v>561048.11</v>
      </c>
      <c r="I256" s="41">
        <f t="shared" si="7"/>
        <v>6067.9</v>
      </c>
      <c r="J256" s="41">
        <f t="shared" si="7"/>
        <v>0</v>
      </c>
      <c r="K256" s="41">
        <f t="shared" si="7"/>
        <v>7431.06</v>
      </c>
      <c r="L256" s="41">
        <f>SUM(F256:K256)</f>
        <v>853747.20000000007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38298557.739999995</v>
      </c>
      <c r="G257" s="41">
        <f t="shared" si="8"/>
        <v>16237048.890000002</v>
      </c>
      <c r="H257" s="41">
        <f t="shared" si="8"/>
        <v>6155861.6100000003</v>
      </c>
      <c r="I257" s="41">
        <f t="shared" si="8"/>
        <v>3717782.6</v>
      </c>
      <c r="J257" s="41">
        <f t="shared" si="8"/>
        <v>173760.88</v>
      </c>
      <c r="K257" s="41">
        <f t="shared" si="8"/>
        <v>63829.1</v>
      </c>
      <c r="L257" s="41">
        <f t="shared" si="8"/>
        <v>64646840.820000008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f>275000+3551700+153561.41</f>
        <v>3980261.41</v>
      </c>
      <c r="L260" s="19">
        <f>SUM(F260:K260)</f>
        <v>3980261.41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f>197139.25+2840142.5</f>
        <v>3037281.75</v>
      </c>
      <c r="L261" s="19">
        <f>SUM(F261:K261)</f>
        <v>3037281.75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4472.34</v>
      </c>
      <c r="L263" s="19">
        <f>SUM(F263:K263)</f>
        <v>4472.34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f>113180.62+616522+225000+75000</f>
        <v>1029702.62</v>
      </c>
      <c r="L266" s="19">
        <f t="shared" si="9"/>
        <v>1029702.62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8051718.1200000001</v>
      </c>
      <c r="L270" s="41">
        <f t="shared" si="9"/>
        <v>8051718.1200000001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38298557.739999995</v>
      </c>
      <c r="G271" s="42">
        <f t="shared" si="11"/>
        <v>16237048.890000002</v>
      </c>
      <c r="H271" s="42">
        <f t="shared" si="11"/>
        <v>6155861.6100000003</v>
      </c>
      <c r="I271" s="42">
        <f t="shared" si="11"/>
        <v>3717782.6</v>
      </c>
      <c r="J271" s="42">
        <f t="shared" si="11"/>
        <v>173760.88</v>
      </c>
      <c r="K271" s="42">
        <f t="shared" si="11"/>
        <v>8115547.2199999997</v>
      </c>
      <c r="L271" s="42">
        <f t="shared" si="11"/>
        <v>72698558.940000013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f>132.18</f>
        <v>132.18</v>
      </c>
      <c r="G276" s="18">
        <f>25.93</f>
        <v>25.93</v>
      </c>
      <c r="H276" s="18"/>
      <c r="I276" s="18">
        <f>15521.38+3341.21</f>
        <v>18862.59</v>
      </c>
      <c r="J276" s="18">
        <f>5966.22+37.77</f>
        <v>6003.9900000000007</v>
      </c>
      <c r="K276" s="18"/>
      <c r="L276" s="19">
        <f>SUM(F276:K276)</f>
        <v>25024.690000000002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f>447097.78+571323.11+28032.3+1477.11</f>
        <v>1047930.3</v>
      </c>
      <c r="G277" s="18">
        <f>185993.08+125162.86+2346.97+123.55</f>
        <v>313626.45999999996</v>
      </c>
      <c r="H277" s="18">
        <f>0+8170.44</f>
        <v>8170.44</v>
      </c>
      <c r="I277" s="18">
        <f>177.92+8517.94+54.62</f>
        <v>8750.4800000000014</v>
      </c>
      <c r="J277" s="18">
        <f>236.55</f>
        <v>236.55</v>
      </c>
      <c r="K277" s="18"/>
      <c r="L277" s="19">
        <f>SUM(F277:K277)</f>
        <v>1378714.23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f>83406.25+85117.83</f>
        <v>168524.08000000002</v>
      </c>
      <c r="G279" s="18">
        <f>12629.66+11092.6</f>
        <v>23722.260000000002</v>
      </c>
      <c r="H279" s="18">
        <f>0</f>
        <v>0</v>
      </c>
      <c r="I279" s="18">
        <f>7984.55+12409.97</f>
        <v>20394.52</v>
      </c>
      <c r="J279" s="18"/>
      <c r="K279" s="18"/>
      <c r="L279" s="19">
        <f>SUM(F279:K279)</f>
        <v>212640.86000000002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f>4203.65+21325.14+34763.86+456.3</f>
        <v>60748.950000000004</v>
      </c>
      <c r="G281" s="18">
        <f>871.61+1785.55+2916.3+38.22</f>
        <v>5611.68</v>
      </c>
      <c r="H281" s="18">
        <f>61.4+23713.83</f>
        <v>23775.230000000003</v>
      </c>
      <c r="I281" s="18">
        <f>277.77+3158.3+1809.16+1569.23</f>
        <v>6814.4600000000009</v>
      </c>
      <c r="J281" s="18">
        <f>2185.81</f>
        <v>2185.81</v>
      </c>
      <c r="K281" s="18"/>
      <c r="L281" s="19">
        <f t="shared" ref="L281:L287" si="12">SUM(F281:K281)</f>
        <v>99136.130000000019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f>33870.52+134848.84+2652+60833.65</f>
        <v>232205.00999999998</v>
      </c>
      <c r="G282" s="18">
        <f>9360.84+36638.11+202.87+27837.54</f>
        <v>74039.360000000001</v>
      </c>
      <c r="H282" s="18">
        <f>5134.4+125+19793.06+27342.68</f>
        <v>52395.14</v>
      </c>
      <c r="I282" s="18">
        <f>26.35+6198.28</f>
        <v>6224.63</v>
      </c>
      <c r="J282" s="18"/>
      <c r="K282" s="18"/>
      <c r="L282" s="19">
        <f t="shared" si="12"/>
        <v>364864.14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f>6225.87</f>
        <v>6225.87</v>
      </c>
      <c r="G283" s="18">
        <f>4494.52</f>
        <v>4494.5200000000004</v>
      </c>
      <c r="H283" s="18">
        <f>1523.18</f>
        <v>1523.18</v>
      </c>
      <c r="I283" s="18">
        <f>17.62</f>
        <v>17.62</v>
      </c>
      <c r="J283" s="18"/>
      <c r="K283" s="18"/>
      <c r="L283" s="19">
        <f t="shared" si="12"/>
        <v>12261.19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v>322.97000000000003</v>
      </c>
      <c r="I287" s="18"/>
      <c r="J287" s="18"/>
      <c r="K287" s="18"/>
      <c r="L287" s="19">
        <f t="shared" si="12"/>
        <v>322.97000000000003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1515766.3900000001</v>
      </c>
      <c r="G290" s="42">
        <f t="shared" si="13"/>
        <v>421520.20999999996</v>
      </c>
      <c r="H290" s="42">
        <f t="shared" si="13"/>
        <v>86186.959999999992</v>
      </c>
      <c r="I290" s="42">
        <f t="shared" si="13"/>
        <v>61064.299999999996</v>
      </c>
      <c r="J290" s="42">
        <f t="shared" si="13"/>
        <v>8426.35</v>
      </c>
      <c r="K290" s="42">
        <f t="shared" si="13"/>
        <v>0</v>
      </c>
      <c r="L290" s="41">
        <f t="shared" si="13"/>
        <v>2092964.2100000002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f>61.8</f>
        <v>61.8</v>
      </c>
      <c r="G295" s="18">
        <f>12.13</f>
        <v>12.13</v>
      </c>
      <c r="H295" s="18"/>
      <c r="I295" s="18">
        <f>3261.44+1562.17</f>
        <v>4823.6100000000006</v>
      </c>
      <c r="J295" s="18">
        <f>5054.59+17.66</f>
        <v>5072.25</v>
      </c>
      <c r="K295" s="18"/>
      <c r="L295" s="19">
        <f>SUM(F295:K295)</f>
        <v>9969.7900000000009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f>262881.61+36236.52+589.91</f>
        <v>299708.03999999998</v>
      </c>
      <c r="G296" s="18">
        <f>99335.71+9572.54+49.34</f>
        <v>108957.59</v>
      </c>
      <c r="H296" s="18">
        <f>3263.02</f>
        <v>3263.02</v>
      </c>
      <c r="I296" s="18">
        <f>1915.83+21.81</f>
        <v>1937.6399999999999</v>
      </c>
      <c r="J296" s="18">
        <f>7568+94.47</f>
        <v>7662.47</v>
      </c>
      <c r="K296" s="18"/>
      <c r="L296" s="19">
        <f>SUM(F296:K296)</f>
        <v>421528.76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>
        <f>35153.5+42352.25</f>
        <v>77505.75</v>
      </c>
      <c r="G298" s="18">
        <f>7017.62+6956.78</f>
        <v>13974.4</v>
      </c>
      <c r="H298" s="18"/>
      <c r="I298" s="18">
        <f>8023.54+2313.48</f>
        <v>10337.02</v>
      </c>
      <c r="J298" s="18"/>
      <c r="K298" s="18"/>
      <c r="L298" s="19">
        <f>SUM(F298:K298)</f>
        <v>101817.17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f>43541+213.34</f>
        <v>43754.34</v>
      </c>
      <c r="G300" s="18">
        <f>3645.57+17.87</f>
        <v>3663.44</v>
      </c>
      <c r="H300" s="18">
        <f>202.5+300+11087.27</f>
        <v>11589.77</v>
      </c>
      <c r="I300" s="18">
        <f>733.68</f>
        <v>733.68</v>
      </c>
      <c r="J300" s="18">
        <f>813+1021.97</f>
        <v>1834.97</v>
      </c>
      <c r="K300" s="18"/>
      <c r="L300" s="19">
        <f t="shared" ref="L300:L306" si="14">SUM(F300:K300)</f>
        <v>61576.200000000004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f>6297.48+25940.49</f>
        <v>32237.97</v>
      </c>
      <c r="G301" s="18">
        <f>1805.07+11870.39</f>
        <v>13675.46</v>
      </c>
      <c r="H301" s="18">
        <f>3750+4250.15+11659.38</f>
        <v>19659.53</v>
      </c>
      <c r="I301" s="18">
        <f>3489.58+2643.05</f>
        <v>6132.63</v>
      </c>
      <c r="J301" s="18"/>
      <c r="K301" s="18"/>
      <c r="L301" s="19">
        <f t="shared" si="14"/>
        <v>71705.59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>
        <f>2910.87</f>
        <v>2910.87</v>
      </c>
      <c r="G302" s="18">
        <f>2101.38</f>
        <v>2101.38</v>
      </c>
      <c r="H302" s="18">
        <f>712.15</f>
        <v>712.15</v>
      </c>
      <c r="I302" s="18">
        <f>8.24</f>
        <v>8.24</v>
      </c>
      <c r="J302" s="18"/>
      <c r="K302" s="18"/>
      <c r="L302" s="19">
        <f t="shared" si="14"/>
        <v>5732.6399999999994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>
        <f>13910.4</f>
        <v>13910.4</v>
      </c>
      <c r="I306" s="18"/>
      <c r="J306" s="18"/>
      <c r="K306" s="18"/>
      <c r="L306" s="19">
        <f t="shared" si="14"/>
        <v>13910.4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456178.7699999999</v>
      </c>
      <c r="G309" s="42">
        <f t="shared" si="15"/>
        <v>142384.4</v>
      </c>
      <c r="H309" s="42">
        <f t="shared" si="15"/>
        <v>49134.87</v>
      </c>
      <c r="I309" s="42">
        <f t="shared" si="15"/>
        <v>23972.820000000003</v>
      </c>
      <c r="J309" s="42">
        <f t="shared" si="15"/>
        <v>14569.69</v>
      </c>
      <c r="K309" s="42">
        <f t="shared" si="15"/>
        <v>0</v>
      </c>
      <c r="L309" s="41">
        <f t="shared" si="15"/>
        <v>686240.54999999993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f>106.02</f>
        <v>106.02</v>
      </c>
      <c r="G314" s="18">
        <f>20.8</f>
        <v>20.8</v>
      </c>
      <c r="H314" s="18">
        <f>2500</f>
        <v>2500</v>
      </c>
      <c r="I314" s="18">
        <f>6802.91+2679.95</f>
        <v>9482.86</v>
      </c>
      <c r="J314" s="18">
        <f>1004.98+30.29</f>
        <v>1035.27</v>
      </c>
      <c r="K314" s="18"/>
      <c r="L314" s="19">
        <f>SUM(F314:K314)</f>
        <v>13144.95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f>262.5+16599.73+1042.69</f>
        <v>17904.919999999998</v>
      </c>
      <c r="G315" s="18">
        <f>20.09+5224.87+87.22</f>
        <v>5332.18</v>
      </c>
      <c r="H315" s="18">
        <f>5767.47</f>
        <v>5767.47</v>
      </c>
      <c r="I315" s="18">
        <f>1549.7+271.94+38.56</f>
        <v>1860.2</v>
      </c>
      <c r="J315" s="18">
        <f>13740+166.98</f>
        <v>13906.98</v>
      </c>
      <c r="K315" s="18"/>
      <c r="L315" s="19">
        <f>SUM(F315:K315)</f>
        <v>44771.75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>
        <f>1780+7378+22852.94+47667.25</f>
        <v>79678.19</v>
      </c>
      <c r="G316" s="18">
        <f>149.04+617.77+1979.94+4592.89</f>
        <v>7339.64</v>
      </c>
      <c r="H316" s="18">
        <f>1500+1749.17+385.03+422.34</f>
        <v>4056.54</v>
      </c>
      <c r="I316" s="18">
        <f>2075.5+2403.96+761+8600.22+4412.27</f>
        <v>18252.95</v>
      </c>
      <c r="J316" s="18">
        <f>5400+543+57431.74</f>
        <v>63374.74</v>
      </c>
      <c r="K316" s="18">
        <v>200</v>
      </c>
      <c r="L316" s="19">
        <f>SUM(F316:K316)</f>
        <v>172902.06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>
        <f>3264+16756+28600.73</f>
        <v>48620.729999999996</v>
      </c>
      <c r="G317" s="18">
        <f>434.63+2708.36+3939.25</f>
        <v>7082.24</v>
      </c>
      <c r="H317" s="18"/>
      <c r="I317" s="18">
        <f>403.98+1674.76</f>
        <v>2078.7399999999998</v>
      </c>
      <c r="J317" s="18"/>
      <c r="K317" s="18"/>
      <c r="L317" s="19">
        <f>SUM(F317:K317)</f>
        <v>57781.709999999992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f>67490.02+15387.31+366</f>
        <v>83243.33</v>
      </c>
      <c r="G319" s="18">
        <f>10353.76+5603.22+30.65</f>
        <v>15987.63</v>
      </c>
      <c r="H319" s="18">
        <f>202.5+375+19020.58</f>
        <v>19598.080000000002</v>
      </c>
      <c r="I319" s="18">
        <f>1258.66</f>
        <v>1258.6600000000001</v>
      </c>
      <c r="J319" s="18">
        <f>1753.21</f>
        <v>1753.21</v>
      </c>
      <c r="K319" s="18"/>
      <c r="L319" s="19">
        <f t="shared" ref="L319:L325" si="16">SUM(F319:K319)</f>
        <v>121840.91000000002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f>35894.5+11787.34+44304.62</f>
        <v>91986.459999999992</v>
      </c>
      <c r="G320" s="18">
        <f>10751.99+3153.44+20273.84</f>
        <v>34179.270000000004</v>
      </c>
      <c r="H320" s="18">
        <f>31423.56+19913.44</f>
        <v>51337</v>
      </c>
      <c r="I320" s="18">
        <f>19011.21+4514.16</f>
        <v>23525.37</v>
      </c>
      <c r="J320" s="18"/>
      <c r="K320" s="18">
        <f>10463.06</f>
        <v>10463.06</v>
      </c>
      <c r="L320" s="19">
        <f t="shared" si="16"/>
        <v>211491.15999999997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>
        <f>4993.7</f>
        <v>4993.7</v>
      </c>
      <c r="G321" s="18">
        <f>3605</f>
        <v>3605</v>
      </c>
      <c r="H321" s="18">
        <f>1221.73</f>
        <v>1221.73</v>
      </c>
      <c r="I321" s="18">
        <f>14.14</f>
        <v>14.14</v>
      </c>
      <c r="J321" s="18"/>
      <c r="K321" s="18"/>
      <c r="L321" s="19">
        <f t="shared" si="16"/>
        <v>9834.57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>
        <f>42153.03+168.96+50001.02</f>
        <v>92323.01</v>
      </c>
      <c r="I325" s="18"/>
      <c r="J325" s="18"/>
      <c r="K325" s="18"/>
      <c r="L325" s="19">
        <f t="shared" si="16"/>
        <v>92323.01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326533.35000000003</v>
      </c>
      <c r="G328" s="42">
        <f t="shared" si="17"/>
        <v>73546.760000000009</v>
      </c>
      <c r="H328" s="42">
        <f t="shared" si="17"/>
        <v>176803.83</v>
      </c>
      <c r="I328" s="42">
        <f t="shared" si="17"/>
        <v>56472.92</v>
      </c>
      <c r="J328" s="42">
        <f t="shared" si="17"/>
        <v>80070.2</v>
      </c>
      <c r="K328" s="42">
        <f t="shared" si="17"/>
        <v>10663.06</v>
      </c>
      <c r="L328" s="41">
        <f t="shared" si="17"/>
        <v>724090.12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>
        <f>89930.37</f>
        <v>89930.37</v>
      </c>
      <c r="G333" s="18">
        <f>13291.42</f>
        <v>13291.42</v>
      </c>
      <c r="H333" s="18">
        <f>223.96</f>
        <v>223.96</v>
      </c>
      <c r="I333" s="18">
        <f>23350.52</f>
        <v>23350.52</v>
      </c>
      <c r="J333" s="18">
        <f>7250.2</f>
        <v>7250.2</v>
      </c>
      <c r="K333" s="18"/>
      <c r="L333" s="19">
        <f t="shared" si="18"/>
        <v>134046.47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>
        <v>24450</v>
      </c>
      <c r="I336" s="18"/>
      <c r="J336" s="18"/>
      <c r="K336" s="18"/>
      <c r="L336" s="19">
        <f t="shared" si="18"/>
        <v>24450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89930.37</v>
      </c>
      <c r="G337" s="41">
        <f t="shared" si="19"/>
        <v>13291.42</v>
      </c>
      <c r="H337" s="41">
        <f t="shared" si="19"/>
        <v>24673.96</v>
      </c>
      <c r="I337" s="41">
        <f t="shared" si="19"/>
        <v>23350.52</v>
      </c>
      <c r="J337" s="41">
        <f t="shared" si="19"/>
        <v>7250.2</v>
      </c>
      <c r="K337" s="41">
        <f t="shared" si="19"/>
        <v>0</v>
      </c>
      <c r="L337" s="41">
        <f t="shared" si="18"/>
        <v>158496.47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2388408.8800000004</v>
      </c>
      <c r="G338" s="41">
        <f t="shared" si="20"/>
        <v>650742.79</v>
      </c>
      <c r="H338" s="41">
        <f t="shared" si="20"/>
        <v>336799.62</v>
      </c>
      <c r="I338" s="41">
        <f t="shared" si="20"/>
        <v>164860.55999999997</v>
      </c>
      <c r="J338" s="41">
        <f t="shared" si="20"/>
        <v>110316.43999999999</v>
      </c>
      <c r="K338" s="41">
        <f t="shared" si="20"/>
        <v>10663.06</v>
      </c>
      <c r="L338" s="41">
        <f t="shared" si="20"/>
        <v>3661791.3500000006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f>91765.52</f>
        <v>91765.52</v>
      </c>
      <c r="L344" s="19">
        <f t="shared" ref="L344:L350" si="21">SUM(F344:K344)</f>
        <v>91765.52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91765.52</v>
      </c>
      <c r="L351" s="41">
        <f>SUM(L341:L350)</f>
        <v>91765.52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2388408.8800000004</v>
      </c>
      <c r="G352" s="41">
        <f>G338</f>
        <v>650742.79</v>
      </c>
      <c r="H352" s="41">
        <f>H338</f>
        <v>336799.62</v>
      </c>
      <c r="I352" s="41">
        <f>I338</f>
        <v>164860.55999999997</v>
      </c>
      <c r="J352" s="41">
        <f>J338</f>
        <v>110316.43999999999</v>
      </c>
      <c r="K352" s="47">
        <f>K338+K351</f>
        <v>102428.58</v>
      </c>
      <c r="L352" s="41">
        <f>L338+L351</f>
        <v>3753556.8700000006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f>207441.93+66004.38</f>
        <v>273446.31</v>
      </c>
      <c r="G358" s="18">
        <f>91603.93+24559.98</f>
        <v>116163.90999999999</v>
      </c>
      <c r="H358" s="18">
        <f>14750.13+3773.28</f>
        <v>18523.41</v>
      </c>
      <c r="I358" s="18">
        <f>307017.78+59986.76</f>
        <v>367004.54000000004</v>
      </c>
      <c r="J358" s="18">
        <f>741.53+78.85</f>
        <v>820.38</v>
      </c>
      <c r="K358" s="18">
        <f>2.95+743.12</f>
        <v>746.07</v>
      </c>
      <c r="L358" s="13">
        <f>SUM(F358:K358)</f>
        <v>776704.61999999988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f>99860.8+30859.97</f>
        <v>130720.77</v>
      </c>
      <c r="G359" s="18">
        <f>34166.61+11482.88</f>
        <v>45649.49</v>
      </c>
      <c r="H359" s="18">
        <f>4824.36+1764.18</f>
        <v>6588.54</v>
      </c>
      <c r="I359" s="18">
        <f>186346.94+28046.47</f>
        <v>214393.41</v>
      </c>
      <c r="J359" s="18">
        <f>318.88+36.86</f>
        <v>355.74</v>
      </c>
      <c r="K359" s="18">
        <f>119.98+347.44</f>
        <v>467.42</v>
      </c>
      <c r="L359" s="19">
        <f>SUM(F359:K359)</f>
        <v>398175.37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f>123713.81+52941.33</f>
        <v>176655.14</v>
      </c>
      <c r="G360" s="18">
        <f>41919.95+19699.27</f>
        <v>61619.22</v>
      </c>
      <c r="H360" s="18">
        <f>10243+3026.51</f>
        <v>13269.51</v>
      </c>
      <c r="I360" s="18">
        <f>257619.62+48114.67</f>
        <v>305734.28999999998</v>
      </c>
      <c r="J360" s="18">
        <f>199+63.24</f>
        <v>262.24</v>
      </c>
      <c r="K360" s="18">
        <f>176.66+596.04</f>
        <v>772.69999999999993</v>
      </c>
      <c r="L360" s="19">
        <f>SUM(F360:K360)</f>
        <v>558313.1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580822.22</v>
      </c>
      <c r="G362" s="47">
        <f t="shared" si="22"/>
        <v>223432.62</v>
      </c>
      <c r="H362" s="47">
        <f t="shared" si="22"/>
        <v>38381.46</v>
      </c>
      <c r="I362" s="47">
        <f t="shared" si="22"/>
        <v>887132.24</v>
      </c>
      <c r="J362" s="47">
        <f t="shared" si="22"/>
        <v>1438.36</v>
      </c>
      <c r="K362" s="47">
        <f t="shared" si="22"/>
        <v>1986.19</v>
      </c>
      <c r="L362" s="47">
        <f t="shared" si="22"/>
        <v>1733193.0899999999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f>272796.59+52518.41</f>
        <v>325315</v>
      </c>
      <c r="G367" s="18">
        <f>173964.62+24554.68</f>
        <v>198519.3</v>
      </c>
      <c r="H367" s="18">
        <f>243416.31+42124.39</f>
        <v>285540.7</v>
      </c>
      <c r="I367" s="56">
        <f>SUM(F367:H367)</f>
        <v>809375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f>34221.19+7468.35</f>
        <v>41689.54</v>
      </c>
      <c r="G368" s="63">
        <f>12382.32+3491.79</f>
        <v>15874.11</v>
      </c>
      <c r="H368" s="63">
        <f>14203.31+5990.28</f>
        <v>20193.59</v>
      </c>
      <c r="I368" s="56">
        <f>SUM(F368:H368)</f>
        <v>77757.240000000005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367004.54</v>
      </c>
      <c r="G369" s="47">
        <f>SUM(G367:G368)</f>
        <v>214393.40999999997</v>
      </c>
      <c r="H369" s="47">
        <f>SUM(H367:H368)</f>
        <v>305734.29000000004</v>
      </c>
      <c r="I369" s="47">
        <f>SUM(I367:I368)</f>
        <v>887132.24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>
        <f>4958.93</f>
        <v>4958.93</v>
      </c>
      <c r="I376" s="18"/>
      <c r="J376" s="18"/>
      <c r="K376" s="18"/>
      <c r="L376" s="13">
        <f t="shared" si="23"/>
        <v>4958.93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>
        <v>56399.97</v>
      </c>
      <c r="I378" s="18"/>
      <c r="J378" s="18"/>
      <c r="K378" s="18"/>
      <c r="L378" s="13">
        <f t="shared" si="23"/>
        <v>56399.97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>
        <f>5750+16926.11+6105</f>
        <v>28781.11</v>
      </c>
      <c r="I379" s="18"/>
      <c r="J379" s="18"/>
      <c r="K379" s="18"/>
      <c r="L379" s="13">
        <f t="shared" si="23"/>
        <v>28781.11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>
        <f>1550+1450+900+1985.45</f>
        <v>5885.45</v>
      </c>
      <c r="I380" s="18">
        <f>6413.65+5968+1920.98</f>
        <v>14302.63</v>
      </c>
      <c r="J380" s="18">
        <f>25613.43+2969.29+44668.18+26074.48+29544.48+3000</f>
        <v>131869.85999999999</v>
      </c>
      <c r="K380" s="18"/>
      <c r="L380" s="13">
        <f t="shared" si="23"/>
        <v>152057.93999999997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96025.46</v>
      </c>
      <c r="I382" s="41">
        <f t="shared" si="24"/>
        <v>14302.63</v>
      </c>
      <c r="J382" s="47">
        <f t="shared" si="24"/>
        <v>131869.85999999999</v>
      </c>
      <c r="K382" s="47">
        <f t="shared" si="24"/>
        <v>0</v>
      </c>
      <c r="L382" s="47">
        <f t="shared" si="24"/>
        <v>242197.94999999998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>
        <v>1029702.62</v>
      </c>
      <c r="H400" s="18">
        <f>466.52+31.16</f>
        <v>497.68</v>
      </c>
      <c r="I400" s="18">
        <v>7764.59</v>
      </c>
      <c r="J400" s="24" t="s">
        <v>289</v>
      </c>
      <c r="K400" s="24" t="s">
        <v>289</v>
      </c>
      <c r="L400" s="56">
        <f t="shared" si="26"/>
        <v>1037964.89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1029702.62</v>
      </c>
      <c r="H401" s="47">
        <f>SUM(H395:H400)</f>
        <v>497.68</v>
      </c>
      <c r="I401" s="47">
        <f>SUM(I395:I400)</f>
        <v>7764.59</v>
      </c>
      <c r="J401" s="45" t="s">
        <v>289</v>
      </c>
      <c r="K401" s="45" t="s">
        <v>289</v>
      </c>
      <c r="L401" s="47">
        <f>SUM(L395:L400)</f>
        <v>1037964.89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1029702.62</v>
      </c>
      <c r="H408" s="47">
        <f>H393+H401+H407</f>
        <v>497.68</v>
      </c>
      <c r="I408" s="47">
        <f>I393+I401+I407</f>
        <v>7764.59</v>
      </c>
      <c r="J408" s="24" t="s">
        <v>289</v>
      </c>
      <c r="K408" s="24" t="s">
        <v>289</v>
      </c>
      <c r="L408" s="47">
        <f>L393+L401+L407</f>
        <v>1037964.89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>
        <f>2306542.73-8534.7</f>
        <v>2298008.0299999998</v>
      </c>
      <c r="L426" s="56">
        <f t="shared" si="29"/>
        <v>2298008.0299999998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2298008.0299999998</v>
      </c>
      <c r="L427" s="47">
        <f t="shared" si="30"/>
        <v>2298008.0299999998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>
        <v>7961.86</v>
      </c>
      <c r="I429" s="18"/>
      <c r="J429" s="18"/>
      <c r="K429" s="18"/>
      <c r="L429" s="56">
        <f>SUM(F429:K429)</f>
        <v>7961.86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7961.86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7961.86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7961.86</v>
      </c>
      <c r="I434" s="47">
        <f t="shared" si="32"/>
        <v>0</v>
      </c>
      <c r="J434" s="47">
        <f t="shared" si="32"/>
        <v>0</v>
      </c>
      <c r="K434" s="47">
        <f t="shared" si="32"/>
        <v>2298008.0299999998</v>
      </c>
      <c r="L434" s="47">
        <f t="shared" si="32"/>
        <v>2305969.8899999997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>
        <f>4210207.55+313252.41</f>
        <v>4523459.96</v>
      </c>
      <c r="H440" s="18"/>
      <c r="I440" s="56">
        <f t="shared" si="33"/>
        <v>4523459.96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>
        <f>-1247859.2+85449.4</f>
        <v>-1162409.8</v>
      </c>
      <c r="H441" s="18"/>
      <c r="I441" s="56">
        <f t="shared" si="33"/>
        <v>-1162409.8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3361050.16</v>
      </c>
      <c r="H446" s="13">
        <f>SUM(H439:H445)</f>
        <v>0</v>
      </c>
      <c r="I446" s="13">
        <f>SUM(I439:I445)</f>
        <v>3361050.16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>
        <f>-1781411.1+85449.4-8534.7</f>
        <v>-1704496.4000000001</v>
      </c>
      <c r="H448" s="18"/>
      <c r="I448" s="56">
        <f>SUM(F448:H448)</f>
        <v>-1704496.4000000001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-1704496.4000000001</v>
      </c>
      <c r="H452" s="72">
        <f>SUM(H448:H451)</f>
        <v>0</v>
      </c>
      <c r="I452" s="72">
        <f>SUM(I448:I451)</f>
        <v>-1704496.4000000001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f>4743759.45+313252.41+8534.7</f>
        <v>5065546.5600000005</v>
      </c>
      <c r="H459" s="18"/>
      <c r="I459" s="56">
        <f t="shared" si="34"/>
        <v>5065546.5600000005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5065546.5600000005</v>
      </c>
      <c r="H460" s="83">
        <f>SUM(H454:H459)</f>
        <v>0</v>
      </c>
      <c r="I460" s="83">
        <f>SUM(I454:I459)</f>
        <v>5065546.5600000005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3361050.16</v>
      </c>
      <c r="H461" s="42">
        <f>H452+H460</f>
        <v>0</v>
      </c>
      <c r="I461" s="42">
        <f>I452+I460</f>
        <v>3361050.16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2859326.84</v>
      </c>
      <c r="G465" s="18">
        <v>3921.48</v>
      </c>
      <c r="H465" s="18">
        <v>169976.72</v>
      </c>
      <c r="I465" s="18">
        <v>2230512.0699999998</v>
      </c>
      <c r="J465" s="18">
        <v>6333551.5599999996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71995380.260000005</v>
      </c>
      <c r="G468" s="18">
        <f>1610395.43-3210.69</f>
        <v>1607184.74</v>
      </c>
      <c r="H468" s="18">
        <v>3777747.79</v>
      </c>
      <c r="I468" s="18">
        <f>125253.5-8534.7</f>
        <v>116718.8</v>
      </c>
      <c r="J468" s="18">
        <f>1030169.14+7795.75</f>
        <v>1037964.89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>
        <v>43706</v>
      </c>
      <c r="G469" s="18"/>
      <c r="H469" s="18">
        <v>7607</v>
      </c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72039086.260000005</v>
      </c>
      <c r="G470" s="53">
        <f>SUM(G468:G469)</f>
        <v>1607184.74</v>
      </c>
      <c r="H470" s="53">
        <f>SUM(H468:H469)</f>
        <v>3785354.79</v>
      </c>
      <c r="I470" s="53">
        <f>SUM(I468:I469)</f>
        <v>116718.8</v>
      </c>
      <c r="J470" s="53">
        <f>SUM(J468:J469)</f>
        <v>1037964.89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72698558.94</f>
        <v>72698558.939999998</v>
      </c>
      <c r="G472" s="18">
        <f>1381067.86+352125.23</f>
        <v>1733193.09</v>
      </c>
      <c r="H472" s="18">
        <f>3753556.87</f>
        <v>3753556.87</v>
      </c>
      <c r="I472" s="18">
        <f>242197.95</f>
        <v>242197.95</v>
      </c>
      <c r="J472" s="18">
        <f>2306542.73+7961.86-8534.7</f>
        <v>2305969.8899999997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>
        <v>7607</v>
      </c>
      <c r="G473" s="18"/>
      <c r="H473" s="18"/>
      <c r="I473" s="18">
        <v>43706</v>
      </c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72706165.939999998</v>
      </c>
      <c r="G474" s="53">
        <f>SUM(G472:G473)</f>
        <v>1733193.09</v>
      </c>
      <c r="H474" s="53">
        <f>SUM(H472:H473)</f>
        <v>3753556.87</v>
      </c>
      <c r="I474" s="53">
        <f>SUM(I472:I473)</f>
        <v>285903.95</v>
      </c>
      <c r="J474" s="53">
        <f>SUM(J472:J473)</f>
        <v>2305969.8899999997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2192247.1600000113</v>
      </c>
      <c r="G476" s="53">
        <f>(G465+G470)- G474</f>
        <v>-122086.87000000011</v>
      </c>
      <c r="H476" s="53">
        <f>(H465+H470)- H474</f>
        <v>201774.64000000013</v>
      </c>
      <c r="I476" s="53">
        <f>(I465+I470)- I474</f>
        <v>2061326.9199999997</v>
      </c>
      <c r="J476" s="53">
        <f>(J465+J470)- J474</f>
        <v>5065546.5599999996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 t="s">
        <v>914</v>
      </c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911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912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33198041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 t="s">
        <v>913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60303640</v>
      </c>
      <c r="G495" s="18"/>
      <c r="H495" s="18"/>
      <c r="I495" s="18"/>
      <c r="J495" s="18"/>
      <c r="K495" s="53">
        <f>SUM(F495:J495)</f>
        <v>60303640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3826700</v>
      </c>
      <c r="G497" s="18"/>
      <c r="H497" s="18"/>
      <c r="I497" s="18"/>
      <c r="J497" s="18"/>
      <c r="K497" s="53">
        <f t="shared" si="35"/>
        <v>3826700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56476940</v>
      </c>
      <c r="G498" s="204"/>
      <c r="H498" s="204"/>
      <c r="I498" s="204"/>
      <c r="J498" s="204"/>
      <c r="K498" s="205">
        <f t="shared" si="35"/>
        <v>56476940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f>28614061.23-(3190843.16-944439.13)</f>
        <v>26367657.199999999</v>
      </c>
      <c r="G499" s="18"/>
      <c r="H499" s="18"/>
      <c r="I499" s="18"/>
      <c r="J499" s="18"/>
      <c r="K499" s="53">
        <f t="shared" si="35"/>
        <v>26367657.199999999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82844597.200000003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82844597.200000003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3481905</v>
      </c>
      <c r="G501" s="204"/>
      <c r="H501" s="204"/>
      <c r="I501" s="204"/>
      <c r="J501" s="204"/>
      <c r="K501" s="205">
        <f t="shared" si="35"/>
        <v>3481905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f>3006439.76-929616.63</f>
        <v>2076823.13</v>
      </c>
      <c r="G502" s="18"/>
      <c r="H502" s="18"/>
      <c r="I502" s="18"/>
      <c r="J502" s="18"/>
      <c r="K502" s="53">
        <f t="shared" si="35"/>
        <v>2076823.13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5558728.1299999999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5558728.1299999999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4235608.9000000004</v>
      </c>
      <c r="G521" s="18">
        <v>1351257.08</v>
      </c>
      <c r="H521" s="18">
        <v>426973.21</v>
      </c>
      <c r="I521" s="18">
        <v>18293.04</v>
      </c>
      <c r="J521" s="18">
        <v>1373.7</v>
      </c>
      <c r="K521" s="18"/>
      <c r="L521" s="88">
        <f>SUM(F521:K521)</f>
        <v>6033505.9300000006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1586416.2</v>
      </c>
      <c r="G522" s="18">
        <v>561096.56000000006</v>
      </c>
      <c r="H522" s="18">
        <v>528968.77</v>
      </c>
      <c r="I522" s="18">
        <v>6219.14</v>
      </c>
      <c r="J522" s="18">
        <v>8116.61</v>
      </c>
      <c r="K522" s="18"/>
      <c r="L522" s="88">
        <f>SUM(F522:K522)</f>
        <v>2690817.28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2789786.99</v>
      </c>
      <c r="G523" s="18">
        <v>1095141.3600000001</v>
      </c>
      <c r="H523" s="18">
        <v>967744.46</v>
      </c>
      <c r="I523" s="18">
        <v>19040.61</v>
      </c>
      <c r="J523" s="18">
        <v>15040.64</v>
      </c>
      <c r="K523" s="18">
        <v>370.9</v>
      </c>
      <c r="L523" s="88">
        <f>SUM(F523:K523)</f>
        <v>4887124.9600000009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8611812.0899999999</v>
      </c>
      <c r="G524" s="108">
        <f t="shared" ref="G524:L524" si="36">SUM(G521:G523)</f>
        <v>3007495</v>
      </c>
      <c r="H524" s="108">
        <f t="shared" si="36"/>
        <v>1923686.44</v>
      </c>
      <c r="I524" s="108">
        <f t="shared" si="36"/>
        <v>43552.79</v>
      </c>
      <c r="J524" s="108">
        <f t="shared" si="36"/>
        <v>24530.949999999997</v>
      </c>
      <c r="K524" s="108">
        <f t="shared" si="36"/>
        <v>370.9</v>
      </c>
      <c r="L524" s="89">
        <f t="shared" si="36"/>
        <v>13611448.170000002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1182940.01</v>
      </c>
      <c r="G526" s="18">
        <v>428522.34</v>
      </c>
      <c r="H526" s="18">
        <v>218025.35</v>
      </c>
      <c r="I526" s="18">
        <v>20379.189999999999</v>
      </c>
      <c r="J526" s="18">
        <v>6258.51</v>
      </c>
      <c r="K526" s="18">
        <v>47.5</v>
      </c>
      <c r="L526" s="88">
        <f>SUM(F526:K526)</f>
        <v>1856172.9000000001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227196.37</v>
      </c>
      <c r="G527" s="18">
        <v>74754.62</v>
      </c>
      <c r="H527" s="18">
        <v>39115.57</v>
      </c>
      <c r="I527" s="18">
        <v>4429.91</v>
      </c>
      <c r="J527" s="18">
        <v>3461.48</v>
      </c>
      <c r="K527" s="18">
        <v>18.97</v>
      </c>
      <c r="L527" s="88">
        <f>SUM(F527:K527)</f>
        <v>348976.91999999993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470587.9</v>
      </c>
      <c r="G528" s="18">
        <v>145488.13</v>
      </c>
      <c r="H528" s="18">
        <v>79045.210000000006</v>
      </c>
      <c r="I528" s="18">
        <v>6683.3</v>
      </c>
      <c r="J528" s="18">
        <v>4628.1099999999997</v>
      </c>
      <c r="K528" s="18">
        <v>33.53</v>
      </c>
      <c r="L528" s="88">
        <f>SUM(F528:K528)</f>
        <v>706466.18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1880724.2799999998</v>
      </c>
      <c r="G529" s="89">
        <f t="shared" ref="G529:L529" si="37">SUM(G526:G528)</f>
        <v>648765.09000000008</v>
      </c>
      <c r="H529" s="89">
        <f t="shared" si="37"/>
        <v>336186.13</v>
      </c>
      <c r="I529" s="89">
        <f t="shared" si="37"/>
        <v>31492.399999999998</v>
      </c>
      <c r="J529" s="89">
        <f t="shared" si="37"/>
        <v>14348.099999999999</v>
      </c>
      <c r="K529" s="89">
        <f t="shared" si="37"/>
        <v>100</v>
      </c>
      <c r="L529" s="89">
        <f t="shared" si="37"/>
        <v>2911616.0000000005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67199.78</v>
      </c>
      <c r="G531" s="18">
        <v>27877.67</v>
      </c>
      <c r="H531" s="18"/>
      <c r="I531" s="18"/>
      <c r="J531" s="18"/>
      <c r="K531" s="18"/>
      <c r="L531" s="88">
        <f>SUM(F531:K531)</f>
        <v>95077.45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26837.47</v>
      </c>
      <c r="G532" s="18">
        <v>11133.46</v>
      </c>
      <c r="H532" s="18"/>
      <c r="I532" s="18"/>
      <c r="J532" s="18"/>
      <c r="K532" s="18"/>
      <c r="L532" s="88">
        <f>SUM(F532:K532)</f>
        <v>37970.93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47435.97</v>
      </c>
      <c r="G533" s="18">
        <v>19678.7</v>
      </c>
      <c r="H533" s="18"/>
      <c r="I533" s="18"/>
      <c r="J533" s="18"/>
      <c r="K533" s="18"/>
      <c r="L533" s="88">
        <f>SUM(F533:K533)</f>
        <v>67114.67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141473.22</v>
      </c>
      <c r="G534" s="89">
        <f t="shared" ref="G534:L534" si="38">SUM(G531:G533)</f>
        <v>58689.83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200163.05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728.11</v>
      </c>
      <c r="I536" s="18"/>
      <c r="J536" s="18"/>
      <c r="K536" s="18"/>
      <c r="L536" s="88">
        <f>SUM(F536:K536)</f>
        <v>728.11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>
        <v>290.77999999999997</v>
      </c>
      <c r="I537" s="18"/>
      <c r="J537" s="18"/>
      <c r="K537" s="18"/>
      <c r="L537" s="88">
        <f>SUM(F537:K537)</f>
        <v>290.77999999999997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513.97</v>
      </c>
      <c r="I538" s="18"/>
      <c r="J538" s="18"/>
      <c r="K538" s="18"/>
      <c r="L538" s="88">
        <f>SUM(F538:K538)</f>
        <v>513.97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1532.8600000000001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1532.8600000000001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>
        <v>250381.39</v>
      </c>
      <c r="G541" s="18">
        <v>76072.72</v>
      </c>
      <c r="H541" s="18">
        <v>168251.75</v>
      </c>
      <c r="I541" s="18"/>
      <c r="J541" s="18"/>
      <c r="K541" s="18">
        <v>204.85</v>
      </c>
      <c r="L541" s="88">
        <f>SUM(F541:K541)</f>
        <v>494910.70999999996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>
        <v>117064.38</v>
      </c>
      <c r="G542" s="18">
        <v>35567.370000000003</v>
      </c>
      <c r="H542" s="18">
        <v>78665.13</v>
      </c>
      <c r="I542" s="18"/>
      <c r="J542" s="18"/>
      <c r="K542" s="18">
        <v>95.77</v>
      </c>
      <c r="L542" s="88">
        <f>SUM(F542:K542)</f>
        <v>231392.65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>
        <v>200827.91</v>
      </c>
      <c r="G543" s="18">
        <v>61017.03</v>
      </c>
      <c r="H543" s="18">
        <v>134952.72</v>
      </c>
      <c r="I543" s="18"/>
      <c r="J543" s="18"/>
      <c r="K543" s="18">
        <v>164.3</v>
      </c>
      <c r="L543" s="88">
        <f>SUM(F543:K543)</f>
        <v>396961.96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568273.68000000005</v>
      </c>
      <c r="G544" s="193">
        <f t="shared" ref="G544:L544" si="40">SUM(G541:G543)</f>
        <v>172657.12</v>
      </c>
      <c r="H544" s="193">
        <f t="shared" si="40"/>
        <v>381869.6</v>
      </c>
      <c r="I544" s="193">
        <f t="shared" si="40"/>
        <v>0</v>
      </c>
      <c r="J544" s="193">
        <f t="shared" si="40"/>
        <v>0</v>
      </c>
      <c r="K544" s="193">
        <f t="shared" si="40"/>
        <v>464.92</v>
      </c>
      <c r="L544" s="193">
        <f t="shared" si="40"/>
        <v>1123265.32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11202283.27</v>
      </c>
      <c r="G545" s="89">
        <f t="shared" ref="G545:L545" si="41">G524+G529+G534+G539+G544</f>
        <v>3887607.04</v>
      </c>
      <c r="H545" s="89">
        <f t="shared" si="41"/>
        <v>2643275.0299999998</v>
      </c>
      <c r="I545" s="89">
        <f t="shared" si="41"/>
        <v>75045.19</v>
      </c>
      <c r="J545" s="89">
        <f t="shared" si="41"/>
        <v>38879.049999999996</v>
      </c>
      <c r="K545" s="89">
        <f t="shared" si="41"/>
        <v>935.81999999999994</v>
      </c>
      <c r="L545" s="89">
        <f t="shared" si="41"/>
        <v>17848025.400000002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6033505.9300000006</v>
      </c>
      <c r="G549" s="87">
        <f>L526</f>
        <v>1856172.9000000001</v>
      </c>
      <c r="H549" s="87">
        <f>L531</f>
        <v>95077.45</v>
      </c>
      <c r="I549" s="87">
        <f>L536</f>
        <v>728.11</v>
      </c>
      <c r="J549" s="87">
        <f>L541</f>
        <v>494910.70999999996</v>
      </c>
      <c r="K549" s="87">
        <f>SUM(F549:J549)</f>
        <v>8480395.1000000015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2690817.28</v>
      </c>
      <c r="G550" s="87">
        <f>L527</f>
        <v>348976.91999999993</v>
      </c>
      <c r="H550" s="87">
        <f>L532</f>
        <v>37970.93</v>
      </c>
      <c r="I550" s="87">
        <f>L537</f>
        <v>290.77999999999997</v>
      </c>
      <c r="J550" s="87">
        <f>L542</f>
        <v>231392.65</v>
      </c>
      <c r="K550" s="87">
        <f>SUM(F550:J550)</f>
        <v>3309448.5599999996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4887124.9600000009</v>
      </c>
      <c r="G551" s="87">
        <f>L528</f>
        <v>706466.18</v>
      </c>
      <c r="H551" s="87">
        <f>L533</f>
        <v>67114.67</v>
      </c>
      <c r="I551" s="87">
        <f>L538</f>
        <v>513.97</v>
      </c>
      <c r="J551" s="87">
        <f>L543</f>
        <v>396961.96</v>
      </c>
      <c r="K551" s="87">
        <f>SUM(F551:J551)</f>
        <v>6058181.7400000002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13611448.170000002</v>
      </c>
      <c r="G552" s="89">
        <f t="shared" si="42"/>
        <v>2911616.0000000005</v>
      </c>
      <c r="H552" s="89">
        <f t="shared" si="42"/>
        <v>200163.05</v>
      </c>
      <c r="I552" s="89">
        <f t="shared" si="42"/>
        <v>1532.8600000000001</v>
      </c>
      <c r="J552" s="89">
        <f t="shared" si="42"/>
        <v>1123265.32</v>
      </c>
      <c r="K552" s="89">
        <f t="shared" si="42"/>
        <v>17848025.399999999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>
        <f>571323.11</f>
        <v>571323.11</v>
      </c>
      <c r="G557" s="18">
        <f>125162.86</f>
        <v>125162.86</v>
      </c>
      <c r="H557" s="18"/>
      <c r="I557" s="18">
        <v>8517.94</v>
      </c>
      <c r="J557" s="18"/>
      <c r="K557" s="18"/>
      <c r="L557" s="88">
        <f>SUM(F557:K557)</f>
        <v>705003.90999999992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>
        <f>36236.52</f>
        <v>36236.519999999997</v>
      </c>
      <c r="G558" s="18">
        <f>9572.54</f>
        <v>9572.5400000000009</v>
      </c>
      <c r="H558" s="18"/>
      <c r="I558" s="18">
        <f>1915.83</f>
        <v>1915.83</v>
      </c>
      <c r="J558" s="18">
        <f>7568</f>
        <v>7568</v>
      </c>
      <c r="K558" s="18"/>
      <c r="L558" s="88">
        <f>SUM(F558:K558)</f>
        <v>55292.89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>
        <f>262.5</f>
        <v>262.5</v>
      </c>
      <c r="G559" s="18">
        <v>20.09</v>
      </c>
      <c r="H559" s="18"/>
      <c r="I559" s="18">
        <v>1549.7</v>
      </c>
      <c r="J559" s="18">
        <v>13740</v>
      </c>
      <c r="K559" s="18"/>
      <c r="L559" s="88">
        <f>SUM(F559:K559)</f>
        <v>15572.29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607822.13</v>
      </c>
      <c r="G560" s="108">
        <f t="shared" si="43"/>
        <v>134755.49</v>
      </c>
      <c r="H560" s="108">
        <f t="shared" si="43"/>
        <v>0</v>
      </c>
      <c r="I560" s="108">
        <f t="shared" si="43"/>
        <v>11983.470000000001</v>
      </c>
      <c r="J560" s="108">
        <f t="shared" si="43"/>
        <v>21308</v>
      </c>
      <c r="K560" s="108">
        <f t="shared" si="43"/>
        <v>0</v>
      </c>
      <c r="L560" s="89">
        <f t="shared" si="43"/>
        <v>775869.09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260389.28</v>
      </c>
      <c r="G562" s="18">
        <v>61577.46</v>
      </c>
      <c r="H562" s="18">
        <f>7578.73+4910.54</f>
        <v>12489.27</v>
      </c>
      <c r="I562" s="18">
        <f>50.66+1024.14</f>
        <v>1074.8000000000002</v>
      </c>
      <c r="J562" s="18">
        <v>219.42</v>
      </c>
      <c r="K562" s="18"/>
      <c r="L562" s="88">
        <f>SUM(F562:K562)</f>
        <v>335750.23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>
        <v>105229.61</v>
      </c>
      <c r="G563" s="18">
        <v>32926.93</v>
      </c>
      <c r="H563" s="18">
        <f>3543.39+1800</f>
        <v>5343.3899999999994</v>
      </c>
      <c r="I563" s="18">
        <f>23.69+615.75</f>
        <v>639.44000000000005</v>
      </c>
      <c r="J563" s="18">
        <v>102.59</v>
      </c>
      <c r="K563" s="18"/>
      <c r="L563" s="88">
        <f>SUM(F563:K563)</f>
        <v>144241.96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>
        <v>168741.91</v>
      </c>
      <c r="G564" s="18">
        <v>72997.5</v>
      </c>
      <c r="H564" s="18">
        <f>6078.81+1496.25</f>
        <v>7575.06</v>
      </c>
      <c r="I564" s="18">
        <f>40.64+4866.16</f>
        <v>4906.8</v>
      </c>
      <c r="J564" s="18">
        <f>175.99+180.96</f>
        <v>356.95000000000005</v>
      </c>
      <c r="K564" s="18"/>
      <c r="L564" s="88">
        <f>SUM(F564:K564)</f>
        <v>254578.22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534360.80000000005</v>
      </c>
      <c r="G565" s="89">
        <f t="shared" si="44"/>
        <v>167501.89000000001</v>
      </c>
      <c r="H565" s="89">
        <f t="shared" si="44"/>
        <v>25407.72</v>
      </c>
      <c r="I565" s="89">
        <f t="shared" si="44"/>
        <v>6621.0400000000009</v>
      </c>
      <c r="J565" s="89">
        <f t="shared" si="44"/>
        <v>678.96</v>
      </c>
      <c r="K565" s="89">
        <f t="shared" si="44"/>
        <v>0</v>
      </c>
      <c r="L565" s="89">
        <f t="shared" si="44"/>
        <v>734570.40999999992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1142182.9300000002</v>
      </c>
      <c r="G571" s="89">
        <f t="shared" ref="G571:L571" si="46">G560+G565+G570</f>
        <v>302257.38</v>
      </c>
      <c r="H571" s="89">
        <f t="shared" si="46"/>
        <v>25407.72</v>
      </c>
      <c r="I571" s="89">
        <f t="shared" si="46"/>
        <v>18604.510000000002</v>
      </c>
      <c r="J571" s="89">
        <f t="shared" si="46"/>
        <v>21986.959999999999</v>
      </c>
      <c r="K571" s="89">
        <f t="shared" si="46"/>
        <v>0</v>
      </c>
      <c r="L571" s="89">
        <f t="shared" si="46"/>
        <v>1510439.5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8283.94</v>
      </c>
      <c r="G579" s="18">
        <v>5753.6</v>
      </c>
      <c r="H579" s="18">
        <v>24328</v>
      </c>
      <c r="I579" s="87">
        <f t="shared" si="47"/>
        <v>38365.54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155616.81</v>
      </c>
      <c r="G582" s="18">
        <v>478638.9</v>
      </c>
      <c r="H582" s="18">
        <v>884640.3</v>
      </c>
      <c r="I582" s="87">
        <f t="shared" si="47"/>
        <v>1518896.01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696881.26</v>
      </c>
      <c r="I591" s="18">
        <v>325822.81</v>
      </c>
      <c r="J591" s="18">
        <v>558960.13</v>
      </c>
      <c r="K591" s="104">
        <f t="shared" ref="K591:K597" si="48">SUM(H591:J591)</f>
        <v>1581664.2000000002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494910.71</v>
      </c>
      <c r="I592" s="18">
        <v>231392.65</v>
      </c>
      <c r="J592" s="18">
        <v>396961.96</v>
      </c>
      <c r="K592" s="104">
        <f t="shared" si="48"/>
        <v>1123265.32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>
        <v>2261.85</v>
      </c>
      <c r="I593" s="18">
        <v>1057.52</v>
      </c>
      <c r="J593" s="18">
        <v>4736.46</v>
      </c>
      <c r="K593" s="104">
        <f t="shared" si="48"/>
        <v>8055.83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5108.6899999999996</v>
      </c>
      <c r="I594" s="18">
        <v>23682.85</v>
      </c>
      <c r="J594" s="18">
        <v>112464.36</v>
      </c>
      <c r="K594" s="104">
        <f t="shared" si="48"/>
        <v>141255.9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4010</v>
      </c>
      <c r="I595" s="18">
        <v>10538.42</v>
      </c>
      <c r="J595" s="18">
        <v>21022.53</v>
      </c>
      <c r="K595" s="104">
        <f t="shared" si="48"/>
        <v>35570.949999999997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>
        <v>1676.89</v>
      </c>
      <c r="I596" s="18">
        <v>784.03</v>
      </c>
      <c r="J596" s="18">
        <v>1345.02</v>
      </c>
      <c r="K596" s="104">
        <f t="shared" si="48"/>
        <v>3805.94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>
        <v>28956.63</v>
      </c>
      <c r="I597" s="18">
        <v>4537.1899999999996</v>
      </c>
      <c r="J597" s="18">
        <v>7783.68</v>
      </c>
      <c r="K597" s="104">
        <f t="shared" si="48"/>
        <v>41277.5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1233806.0299999998</v>
      </c>
      <c r="I598" s="108">
        <f>SUM(I591:I597)</f>
        <v>597815.47</v>
      </c>
      <c r="J598" s="108">
        <f>SUM(J591:J597)</f>
        <v>1103274.1400000001</v>
      </c>
      <c r="K598" s="108">
        <f>SUM(K591:K597)</f>
        <v>2934895.6400000006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59833.54</v>
      </c>
      <c r="I604" s="18">
        <v>43161.279999999999</v>
      </c>
      <c r="J604" s="18">
        <v>181082.5</v>
      </c>
      <c r="K604" s="104">
        <f>SUM(H604:J604)</f>
        <v>284077.32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59833.54</v>
      </c>
      <c r="I605" s="108">
        <f>SUM(I602:I604)</f>
        <v>43161.279999999999</v>
      </c>
      <c r="J605" s="108">
        <f>SUM(J602:J604)</f>
        <v>181082.5</v>
      </c>
      <c r="K605" s="108">
        <f>SUM(K602:K604)</f>
        <v>284077.32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58872.51</v>
      </c>
      <c r="G611" s="18">
        <v>7133.17</v>
      </c>
      <c r="H611" s="18">
        <v>62665.84</v>
      </c>
      <c r="I611" s="18">
        <v>185.01</v>
      </c>
      <c r="J611" s="18">
        <v>1137.1500000000001</v>
      </c>
      <c r="K611" s="18"/>
      <c r="L611" s="88">
        <f>SUM(F611:K611)</f>
        <v>129993.68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v>24638.32</v>
      </c>
      <c r="G612" s="18">
        <v>3475.01</v>
      </c>
      <c r="H612" s="18">
        <v>23921.53</v>
      </c>
      <c r="I612" s="18">
        <v>73.89</v>
      </c>
      <c r="J612" s="18">
        <v>454.14</v>
      </c>
      <c r="K612" s="18"/>
      <c r="L612" s="88">
        <f>SUM(F612:K612)</f>
        <v>52562.89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45650.1</v>
      </c>
      <c r="G613" s="18">
        <v>6620.97</v>
      </c>
      <c r="H613" s="18">
        <v>40468.03</v>
      </c>
      <c r="I613" s="18">
        <v>130.6</v>
      </c>
      <c r="J613" s="18">
        <v>802.71</v>
      </c>
      <c r="K613" s="18"/>
      <c r="L613" s="88">
        <f>SUM(F613:K613)</f>
        <v>93672.410000000018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129160.93</v>
      </c>
      <c r="G614" s="108">
        <f t="shared" si="49"/>
        <v>17229.150000000001</v>
      </c>
      <c r="H614" s="108">
        <f t="shared" si="49"/>
        <v>127055.4</v>
      </c>
      <c r="I614" s="108">
        <f t="shared" si="49"/>
        <v>389.5</v>
      </c>
      <c r="J614" s="108">
        <f t="shared" si="49"/>
        <v>2394</v>
      </c>
      <c r="K614" s="108">
        <f t="shared" si="49"/>
        <v>0</v>
      </c>
      <c r="L614" s="89">
        <f t="shared" si="49"/>
        <v>276228.98000000004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100255939.64</v>
      </c>
      <c r="H617" s="109">
        <f>SUM(F52)</f>
        <v>100255939.64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6473950.6300000008</v>
      </c>
      <c r="H618" s="109">
        <f>SUM(G52)</f>
        <v>6473950.629999999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22038828.300000001</v>
      </c>
      <c r="H619" s="109">
        <f>SUM(H52)</f>
        <v>22038828.300000001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66234407.200000003</v>
      </c>
      <c r="H620" s="109">
        <f>SUM(I52)</f>
        <v>66234407.200000018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3361050.16</v>
      </c>
      <c r="H621" s="109">
        <f>SUM(J52)</f>
        <v>3361050.16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2192247.16</v>
      </c>
      <c r="H622" s="109">
        <f>F476</f>
        <v>2192247.1600000113</v>
      </c>
      <c r="I622" s="121" t="s">
        <v>101</v>
      </c>
      <c r="J622" s="109">
        <f t="shared" ref="J622:J655" si="50">G622-H622</f>
        <v>-1.1175870895385742E-8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-122086.87</v>
      </c>
      <c r="H623" s="109">
        <f>G476</f>
        <v>-122086.87000000011</v>
      </c>
      <c r="I623" s="121" t="s">
        <v>102</v>
      </c>
      <c r="J623" s="109">
        <f t="shared" si="50"/>
        <v>1.1641532182693481E-10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201774.63999999984</v>
      </c>
      <c r="H624" s="109">
        <f>H476</f>
        <v>201774.64000000013</v>
      </c>
      <c r="I624" s="121" t="s">
        <v>103</v>
      </c>
      <c r="J624" s="109">
        <f t="shared" si="50"/>
        <v>-2.9103830456733704E-10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2061326.9200000179</v>
      </c>
      <c r="H625" s="109">
        <f>I476</f>
        <v>2061326.9199999997</v>
      </c>
      <c r="I625" s="121" t="s">
        <v>104</v>
      </c>
      <c r="J625" s="109">
        <f t="shared" si="50"/>
        <v>1.8160790205001831E-8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5065546.5600000005</v>
      </c>
      <c r="H626" s="109">
        <f>J476</f>
        <v>5065546.5599999996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71995380.260000005</v>
      </c>
      <c r="H627" s="104">
        <f>SUM(F468)</f>
        <v>71995380.260000005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1607184.7400000002</v>
      </c>
      <c r="H628" s="104">
        <f>SUM(G468)</f>
        <v>1607184.74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3777747.7900000005</v>
      </c>
      <c r="H629" s="104">
        <f>SUM(H468)</f>
        <v>3777747.79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116718.8</v>
      </c>
      <c r="H630" s="104">
        <f>SUM(I468)</f>
        <v>116718.8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1037964.89</v>
      </c>
      <c r="H631" s="104">
        <f>SUM(J468)</f>
        <v>1037964.89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72698558.940000013</v>
      </c>
      <c r="H632" s="104">
        <f>SUM(F472)</f>
        <v>72698558.939999998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3753556.8700000006</v>
      </c>
      <c r="H633" s="104">
        <f>SUM(H472)</f>
        <v>3753556.87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887132.24</v>
      </c>
      <c r="H634" s="104">
        <f>I369</f>
        <v>887132.24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1733193.0899999999</v>
      </c>
      <c r="H635" s="104">
        <f>SUM(G472)</f>
        <v>1733193.09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242197.94999999998</v>
      </c>
      <c r="H636" s="104">
        <f>SUM(I472)</f>
        <v>242197.95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1037964.89</v>
      </c>
      <c r="H637" s="164">
        <f>SUM(J468)</f>
        <v>1037964.89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2305969.8899999997</v>
      </c>
      <c r="H638" s="164">
        <f>SUM(J472)</f>
        <v>2305969.8899999997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3361050.16</v>
      </c>
      <c r="H640" s="104">
        <f>SUM(G461)</f>
        <v>3361050.16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3361050.16</v>
      </c>
      <c r="H642" s="104">
        <f>SUM(I461)</f>
        <v>3361050.16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497.68</v>
      </c>
      <c r="H644" s="104">
        <f>H408</f>
        <v>497.68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1029702.62</v>
      </c>
      <c r="H645" s="104">
        <f>G408</f>
        <v>1029702.62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1037964.89</v>
      </c>
      <c r="H646" s="104">
        <f>L408</f>
        <v>1037964.89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2934895.6400000006</v>
      </c>
      <c r="H647" s="104">
        <f>L208+L226+L244</f>
        <v>2934895.6399999997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284077.32</v>
      </c>
      <c r="H648" s="104">
        <f>(J257+J338)-(J255+J336)</f>
        <v>284077.32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1233806.03</v>
      </c>
      <c r="H649" s="104">
        <f>H598</f>
        <v>1233806.0299999998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597815.47</v>
      </c>
      <c r="H650" s="104">
        <f>I598</f>
        <v>597815.47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1103274.1399999999</v>
      </c>
      <c r="H651" s="104">
        <f>J598</f>
        <v>1103274.1400000001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4472.34</v>
      </c>
      <c r="H652" s="104">
        <f>K263+K345</f>
        <v>4472.34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1029702.62</v>
      </c>
      <c r="H655" s="104">
        <f>K266+K347</f>
        <v>1029702.62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29021539.910000004</v>
      </c>
      <c r="G660" s="19">
        <f>(L229+L309+L359)</f>
        <v>14278908.080000002</v>
      </c>
      <c r="H660" s="19">
        <f>(L247+L328+L360)</f>
        <v>25729133.600000005</v>
      </c>
      <c r="I660" s="19">
        <f>SUM(F660:H660)</f>
        <v>69029581.590000018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267244.26908015169</v>
      </c>
      <c r="G661" s="19">
        <f>(L359/IF(SUM(L358:L360)=0,1,SUM(L358:L360))*(SUM(G97:G110)))</f>
        <v>137001.99919162184</v>
      </c>
      <c r="H661" s="19">
        <f>(L360/IF(SUM(L358:L360)=0,1,SUM(L358:L360))*(SUM(G97:G110)))</f>
        <v>192101.31172822643</v>
      </c>
      <c r="I661" s="19">
        <f>SUM(F661:H661)</f>
        <v>596347.57999999996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1227982.6299999999</v>
      </c>
      <c r="G662" s="19">
        <f>(L226+L306)-(J226+J306)</f>
        <v>608852.17000000004</v>
      </c>
      <c r="H662" s="19">
        <f>(L244+L325)-(J244+J325)</f>
        <v>1190667.22</v>
      </c>
      <c r="I662" s="19">
        <f>SUM(F662:H662)</f>
        <v>3027502.0199999996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353727.97</v>
      </c>
      <c r="G663" s="199">
        <f>SUM(G575:G587)+SUM(I602:I604)+L612</f>
        <v>580116.67000000004</v>
      </c>
      <c r="H663" s="199">
        <f>SUM(H575:H587)+SUM(J602:J604)+L613</f>
        <v>1183723.21</v>
      </c>
      <c r="I663" s="19">
        <f>SUM(F663:H663)</f>
        <v>2117567.85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27172585.040919852</v>
      </c>
      <c r="G664" s="19">
        <f>G660-SUM(G661:G663)</f>
        <v>12952937.240808379</v>
      </c>
      <c r="H664" s="19">
        <f>H660-SUM(H661:H663)</f>
        <v>23162641.858271778</v>
      </c>
      <c r="I664" s="19">
        <f>I660-SUM(I661:I663)</f>
        <v>63288164.140000015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f>398.45+348.39+372.49+393.82+376.03</f>
        <v>1889.1799999999998</v>
      </c>
      <c r="G665" s="248">
        <v>976.12</v>
      </c>
      <c r="H665" s="248">
        <v>1698.23</v>
      </c>
      <c r="I665" s="19">
        <f>SUM(F665:H665)</f>
        <v>4563.53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14383.27</v>
      </c>
      <c r="G667" s="19">
        <f>ROUND(G664/G665,2)</f>
        <v>13269.82</v>
      </c>
      <c r="H667" s="19">
        <f>ROUND(H664/H665,2)</f>
        <v>13639.28</v>
      </c>
      <c r="I667" s="19">
        <f>ROUND(I664/I665,2)</f>
        <v>13868.25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104.19</v>
      </c>
      <c r="I670" s="19">
        <f>SUM(F670:H670)</f>
        <v>104.19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14383.27</v>
      </c>
      <c r="G672" s="19">
        <f>ROUND((G664+G669)/(G665+G670),2)</f>
        <v>13269.82</v>
      </c>
      <c r="H672" s="19">
        <f>ROUND((H664+H669)/(H665+H670),2)</f>
        <v>12850.86</v>
      </c>
      <c r="I672" s="19">
        <f>ROUND((I664+I669)/(I665+I670),2)</f>
        <v>13558.69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13" workbookViewId="0">
      <selection activeCell="G37" sqref="G37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Concord Sd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18402088.48</v>
      </c>
      <c r="C9" s="229">
        <f>'DOE25'!G197+'DOE25'!G215+'DOE25'!G233+'DOE25'!G276+'DOE25'!G295+'DOE25'!G314</f>
        <v>7983470.9700000007</v>
      </c>
    </row>
    <row r="10" spans="1:3" x14ac:dyDescent="0.2">
      <c r="A10" t="s">
        <v>779</v>
      </c>
      <c r="B10" s="240">
        <v>17491195.23</v>
      </c>
      <c r="C10" s="240">
        <f>B10/B9*C9</f>
        <v>7588293.5516299335</v>
      </c>
    </row>
    <row r="11" spans="1:3" x14ac:dyDescent="0.2">
      <c r="A11" t="s">
        <v>780</v>
      </c>
      <c r="B11" s="240">
        <v>4326.91</v>
      </c>
      <c r="C11" s="240">
        <f>B11/B9*C9</f>
        <v>1877.1652148258065</v>
      </c>
    </row>
    <row r="12" spans="1:3" x14ac:dyDescent="0.2">
      <c r="A12" t="s">
        <v>781</v>
      </c>
      <c r="B12" s="240">
        <f>B9-B10-B11</f>
        <v>906566.34</v>
      </c>
      <c r="C12" s="240">
        <f>B12/B9*C9</f>
        <v>393300.25315524131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18402088.48</v>
      </c>
      <c r="C13" s="231">
        <f>SUM(C10:C12)</f>
        <v>7983470.9700000007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8611812.0899999999</v>
      </c>
      <c r="C18" s="229">
        <f>'DOE25'!G198+'DOE25'!G216+'DOE25'!G234+'DOE25'!G277+'DOE25'!G296+'DOE25'!G315</f>
        <v>3194989.6199999996</v>
      </c>
    </row>
    <row r="19" spans="1:3" x14ac:dyDescent="0.2">
      <c r="A19" t="s">
        <v>779</v>
      </c>
      <c r="B19" s="240">
        <v>4307721.37</v>
      </c>
      <c r="C19" s="240">
        <f>B19/B18*C18</f>
        <v>1598168.2971210976</v>
      </c>
    </row>
    <row r="20" spans="1:3" x14ac:dyDescent="0.2">
      <c r="A20" t="s">
        <v>780</v>
      </c>
      <c r="B20" s="240">
        <v>3275217.53</v>
      </c>
      <c r="C20" s="240">
        <f>B20/B18*C18</f>
        <v>1215108.4931060122</v>
      </c>
    </row>
    <row r="21" spans="1:3" x14ac:dyDescent="0.2">
      <c r="A21" t="s">
        <v>781</v>
      </c>
      <c r="B21" s="240">
        <f>B18-B19-B20</f>
        <v>1028873.19</v>
      </c>
      <c r="C21" s="240">
        <f>B21/B18*C18</f>
        <v>381712.82977289014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8611812.0899999999</v>
      </c>
      <c r="C22" s="231">
        <f>SUM(C19:C21)</f>
        <v>3194989.6199999996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746415.98</v>
      </c>
      <c r="C27" s="234">
        <f>'DOE25'!G199+'DOE25'!G217+'DOE25'!G235+'DOE25'!G278+'DOE25'!G297+'DOE25'!G316</f>
        <v>291093.36</v>
      </c>
    </row>
    <row r="28" spans="1:3" x14ac:dyDescent="0.2">
      <c r="A28" t="s">
        <v>779</v>
      </c>
      <c r="B28" s="240">
        <v>580833.74</v>
      </c>
      <c r="C28" s="240">
        <f>B28/B27*C27</f>
        <v>226518.25457698051</v>
      </c>
    </row>
    <row r="29" spans="1:3" x14ac:dyDescent="0.2">
      <c r="A29" t="s">
        <v>780</v>
      </c>
      <c r="B29" s="240">
        <v>67304.36</v>
      </c>
      <c r="C29" s="240">
        <f>B29/B27*C27</f>
        <v>26247.900393356533</v>
      </c>
    </row>
    <row r="30" spans="1:3" x14ac:dyDescent="0.2">
      <c r="A30" t="s">
        <v>781</v>
      </c>
      <c r="B30" s="240">
        <f>B27-B28-B29</f>
        <v>98277.87999999999</v>
      </c>
      <c r="C30" s="240">
        <f>B30/B27*C27</f>
        <v>38327.205029662946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746415.98</v>
      </c>
      <c r="C31" s="231">
        <f>SUM(C28:C30)</f>
        <v>291093.36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822848.44</v>
      </c>
      <c r="C36" s="235">
        <f>'DOE25'!G200+'DOE25'!G218+'DOE25'!G236+'DOE25'!G279+'DOE25'!G298+'DOE25'!G317</f>
        <v>179770.19999999998</v>
      </c>
    </row>
    <row r="37" spans="1:3" x14ac:dyDescent="0.2">
      <c r="A37" t="s">
        <v>779</v>
      </c>
      <c r="B37" s="240">
        <v>0</v>
      </c>
      <c r="C37" s="240">
        <f>B37/B36*C36</f>
        <v>0</v>
      </c>
    </row>
    <row r="38" spans="1:3" x14ac:dyDescent="0.2">
      <c r="A38" t="s">
        <v>780</v>
      </c>
      <c r="B38" s="240">
        <v>4326.91</v>
      </c>
      <c r="C38" s="240">
        <f>B38/B36*C36</f>
        <v>945.3131807383628</v>
      </c>
    </row>
    <row r="39" spans="1:3" x14ac:dyDescent="0.2">
      <c r="A39" t="s">
        <v>781</v>
      </c>
      <c r="B39" s="240">
        <f>B36-B37-B38</f>
        <v>818521.52999999991</v>
      </c>
      <c r="C39" s="240">
        <f>B39/B36*C36</f>
        <v>178824.88681926159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822848.44</v>
      </c>
      <c r="C40" s="231">
        <f>SUM(C37:C39)</f>
        <v>179770.19999999995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20" activePane="bottomLeft" state="frozen"/>
      <selection activeCell="F46" sqref="F46"/>
      <selection pane="bottomLeft" activeCell="D10" sqref="D1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Concord Sd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41212893.75</v>
      </c>
      <c r="D5" s="20">
        <f>SUM('DOE25'!L197:L200)+SUM('DOE25'!L215:L218)+SUM('DOE25'!L233:L236)-F5-G5</f>
        <v>41150791.810000002</v>
      </c>
      <c r="E5" s="243"/>
      <c r="F5" s="255">
        <f>SUM('DOE25'!J197:J200)+SUM('DOE25'!J215:J218)+SUM('DOE25'!J233:J236)</f>
        <v>38100.04</v>
      </c>
      <c r="G5" s="53">
        <f>SUM('DOE25'!K197:K200)+SUM('DOE25'!K215:K218)+SUM('DOE25'!K233:K236)</f>
        <v>24001.9</v>
      </c>
      <c r="H5" s="259"/>
    </row>
    <row r="6" spans="1:9" x14ac:dyDescent="0.2">
      <c r="A6" s="32">
        <v>2100</v>
      </c>
      <c r="B6" t="s">
        <v>801</v>
      </c>
      <c r="C6" s="245">
        <f t="shared" si="0"/>
        <v>5075465.78</v>
      </c>
      <c r="D6" s="20">
        <f>'DOE25'!L202+'DOE25'!L220+'DOE25'!L238-F6-G6</f>
        <v>5065812.6800000006</v>
      </c>
      <c r="E6" s="243"/>
      <c r="F6" s="255">
        <f>'DOE25'!J202+'DOE25'!J220+'DOE25'!J238</f>
        <v>9074.1</v>
      </c>
      <c r="G6" s="53">
        <f>'DOE25'!K202+'DOE25'!K220+'DOE25'!K238</f>
        <v>579</v>
      </c>
      <c r="H6" s="259"/>
    </row>
    <row r="7" spans="1:9" x14ac:dyDescent="0.2">
      <c r="A7" s="32">
        <v>2200</v>
      </c>
      <c r="B7" t="s">
        <v>834</v>
      </c>
      <c r="C7" s="245">
        <f t="shared" si="0"/>
        <v>2820246.55</v>
      </c>
      <c r="D7" s="20">
        <f>'DOE25'!L203+'DOE25'!L221+'DOE25'!L239-F7-G7</f>
        <v>2748735.9899999998</v>
      </c>
      <c r="E7" s="243"/>
      <c r="F7" s="255">
        <f>'DOE25'!J203+'DOE25'!J221+'DOE25'!J239</f>
        <v>71230.599999999991</v>
      </c>
      <c r="G7" s="53">
        <f>'DOE25'!K203+'DOE25'!K221+'DOE25'!K239</f>
        <v>279.95999999999998</v>
      </c>
      <c r="H7" s="259"/>
    </row>
    <row r="8" spans="1:9" x14ac:dyDescent="0.2">
      <c r="A8" s="32">
        <v>2300</v>
      </c>
      <c r="B8" t="s">
        <v>802</v>
      </c>
      <c r="C8" s="245">
        <f t="shared" si="0"/>
        <v>446644.51000000007</v>
      </c>
      <c r="D8" s="243"/>
      <c r="E8" s="20">
        <f>'DOE25'!L204+'DOE25'!L222+'DOE25'!L240-F8-G8-D9-D11</f>
        <v>435086.90000000008</v>
      </c>
      <c r="F8" s="255">
        <f>'DOE25'!J204+'DOE25'!J222+'DOE25'!J240</f>
        <v>1525.19</v>
      </c>
      <c r="G8" s="53">
        <f>'DOE25'!K204+'DOE25'!K222+'DOE25'!K240</f>
        <v>10032.419999999998</v>
      </c>
      <c r="H8" s="259"/>
    </row>
    <row r="9" spans="1:9" x14ac:dyDescent="0.2">
      <c r="A9" s="32">
        <v>2310</v>
      </c>
      <c r="B9" t="s">
        <v>818</v>
      </c>
      <c r="C9" s="245">
        <f t="shared" si="0"/>
        <v>18854.48</v>
      </c>
      <c r="D9" s="244">
        <v>18854.48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44300</v>
      </c>
      <c r="D10" s="243"/>
      <c r="E10" s="244">
        <v>44300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490433.7</v>
      </c>
      <c r="D11" s="244">
        <f>187216+71557.11+158004.4+73656.19</f>
        <v>490433.7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3454506.21</v>
      </c>
      <c r="D12" s="20">
        <f>'DOE25'!L205+'DOE25'!L223+'DOE25'!L241-F12-G12</f>
        <v>3436477.45</v>
      </c>
      <c r="E12" s="243"/>
      <c r="F12" s="255">
        <f>'DOE25'!J205+'DOE25'!J223+'DOE25'!J241</f>
        <v>515</v>
      </c>
      <c r="G12" s="53">
        <f>'DOE25'!K205+'DOE25'!K223+'DOE25'!K241</f>
        <v>17513.760000000002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629213.40999999992</v>
      </c>
      <c r="D13" s="243"/>
      <c r="E13" s="20">
        <f>'DOE25'!L206+'DOE25'!L224+'DOE25'!L242-F13-G13</f>
        <v>624783.40999999992</v>
      </c>
      <c r="F13" s="255">
        <f>'DOE25'!J206+'DOE25'!J224+'DOE25'!J242</f>
        <v>2480</v>
      </c>
      <c r="G13" s="53">
        <f>'DOE25'!K206+'DOE25'!K224+'DOE25'!K242</f>
        <v>1950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6244669.54</v>
      </c>
      <c r="D14" s="20">
        <f>'DOE25'!L207+'DOE25'!L225+'DOE25'!L243-F14-G14</f>
        <v>6207617.5899999999</v>
      </c>
      <c r="E14" s="243"/>
      <c r="F14" s="255">
        <f>'DOE25'!J207+'DOE25'!J225+'DOE25'!J243</f>
        <v>36686.949999999997</v>
      </c>
      <c r="G14" s="53">
        <f>'DOE25'!K207+'DOE25'!K225+'DOE25'!K243</f>
        <v>365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2934895.6399999997</v>
      </c>
      <c r="D15" s="20">
        <f>'DOE25'!L208+'DOE25'!L226+'DOE25'!L244-F15-G15</f>
        <v>2919269.6399999997</v>
      </c>
      <c r="E15" s="243"/>
      <c r="F15" s="255">
        <f>'DOE25'!J208+'DOE25'!J226+'DOE25'!J244</f>
        <v>13950</v>
      </c>
      <c r="G15" s="53">
        <f>'DOE25'!K208+'DOE25'!K226+'DOE25'!K244</f>
        <v>1676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465270.05</v>
      </c>
      <c r="D16" s="243"/>
      <c r="E16" s="20">
        <f>'DOE25'!L209+'DOE25'!L227+'DOE25'!L245-F16-G16</f>
        <v>465071.05</v>
      </c>
      <c r="F16" s="255">
        <f>'DOE25'!J209+'DOE25'!J227+'DOE25'!J245</f>
        <v>199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408043.58</v>
      </c>
      <c r="D17" s="20">
        <f>'DOE25'!L251-F17-G17</f>
        <v>400612.52</v>
      </c>
      <c r="E17" s="243"/>
      <c r="F17" s="255">
        <f>'DOE25'!J251</f>
        <v>0</v>
      </c>
      <c r="G17" s="53">
        <f>'DOE25'!K251</f>
        <v>7431.06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470153.62</v>
      </c>
      <c r="D22" s="243"/>
      <c r="E22" s="243"/>
      <c r="F22" s="255">
        <f>'DOE25'!L255+'DOE25'!L336</f>
        <v>470153.62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7017543.1600000001</v>
      </c>
      <c r="D25" s="243"/>
      <c r="E25" s="243"/>
      <c r="F25" s="258"/>
      <c r="G25" s="256"/>
      <c r="H25" s="257">
        <f>'DOE25'!L260+'DOE25'!L261+'DOE25'!L341+'DOE25'!L342</f>
        <v>7017543.1600000001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923818.08999999985</v>
      </c>
      <c r="D29" s="20">
        <f>'DOE25'!L358+'DOE25'!L359+'DOE25'!L360-'DOE25'!I367-F29-G29</f>
        <v>920393.53999999992</v>
      </c>
      <c r="E29" s="243"/>
      <c r="F29" s="255">
        <f>'DOE25'!J358+'DOE25'!J359+'DOE25'!J360</f>
        <v>1438.36</v>
      </c>
      <c r="G29" s="53">
        <f>'DOE25'!K358+'DOE25'!K359+'DOE25'!K360</f>
        <v>1986.19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3637341.3500000006</v>
      </c>
      <c r="D31" s="20">
        <f>'DOE25'!L290+'DOE25'!L309+'DOE25'!L328+'DOE25'!L333+'DOE25'!L334+'DOE25'!L335-F31-G31</f>
        <v>3516361.8500000006</v>
      </c>
      <c r="E31" s="243"/>
      <c r="F31" s="255">
        <f>'DOE25'!J290+'DOE25'!J309+'DOE25'!J328+'DOE25'!J333+'DOE25'!J334+'DOE25'!J335</f>
        <v>110316.43999999999</v>
      </c>
      <c r="G31" s="53">
        <f>'DOE25'!K290+'DOE25'!K309+'DOE25'!K328+'DOE25'!K333+'DOE25'!K334+'DOE25'!K335</f>
        <v>10663.06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66875361.250000007</v>
      </c>
      <c r="E33" s="246">
        <f>SUM(E5:E31)</f>
        <v>1569241.36</v>
      </c>
      <c r="F33" s="246">
        <f>SUM(F5:F31)</f>
        <v>755669.29999999993</v>
      </c>
      <c r="G33" s="246">
        <f>SUM(G5:G31)</f>
        <v>76478.349999999991</v>
      </c>
      <c r="H33" s="246">
        <f>SUM(H5:H31)</f>
        <v>7017543.1600000001</v>
      </c>
    </row>
    <row r="35" spans="2:8" ht="12" thickBot="1" x14ac:dyDescent="0.25">
      <c r="B35" s="253" t="s">
        <v>847</v>
      </c>
      <c r="D35" s="254">
        <f>E33</f>
        <v>1569241.36</v>
      </c>
      <c r="E35" s="249"/>
    </row>
    <row r="36" spans="2:8" ht="12" thickTop="1" x14ac:dyDescent="0.2">
      <c r="B36" t="s">
        <v>815</v>
      </c>
      <c r="D36" s="20">
        <f>D33</f>
        <v>66875361.250000007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6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Concord Sd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7770413.8600000003</v>
      </c>
      <c r="D8" s="95">
        <f>'DOE25'!G9</f>
        <v>-23791.27</v>
      </c>
      <c r="E8" s="95">
        <f>'DOE25'!H9</f>
        <v>-200340.99</v>
      </c>
      <c r="F8" s="95">
        <f>'DOE25'!I9</f>
        <v>191166.04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2066349.98</v>
      </c>
      <c r="G9" s="95">
        <f>'DOE25'!J10</f>
        <v>4523459.96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91127950.469999999</v>
      </c>
      <c r="D11" s="95">
        <f>'DOE25'!G12</f>
        <v>6378425.6299999999</v>
      </c>
      <c r="E11" s="95">
        <f>'DOE25'!H12</f>
        <v>21518793.489999998</v>
      </c>
      <c r="F11" s="95">
        <f>'DOE25'!I12</f>
        <v>63976891.18</v>
      </c>
      <c r="G11" s="95">
        <f>'DOE25'!J12</f>
        <v>-1162409.8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1238927.42</v>
      </c>
      <c r="D13" s="95">
        <f>'DOE25'!G14</f>
        <v>90839.74</v>
      </c>
      <c r="E13" s="95">
        <f>'DOE25'!H14</f>
        <v>720375.8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22447.89</v>
      </c>
      <c r="D15" s="95">
        <f>'DOE25'!G16</f>
        <v>28476.53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500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95700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100255939.64</v>
      </c>
      <c r="D18" s="41">
        <f>SUM(D8:D17)</f>
        <v>6473950.6300000008</v>
      </c>
      <c r="E18" s="41">
        <f>SUM(E8:E17)</f>
        <v>22038828.300000001</v>
      </c>
      <c r="F18" s="41">
        <f>SUM(F8:F17)</f>
        <v>66234407.200000003</v>
      </c>
      <c r="G18" s="41">
        <f>SUM(G8:G17)</f>
        <v>3361050.16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90998404.980000004</v>
      </c>
      <c r="D21" s="95">
        <f>'DOE25'!G22</f>
        <v>6556209.8799999999</v>
      </c>
      <c r="E21" s="95">
        <f>'DOE25'!H22</f>
        <v>21817412.559999999</v>
      </c>
      <c r="F21" s="95">
        <f>'DOE25'!I22</f>
        <v>64172060.300000004</v>
      </c>
      <c r="G21" s="95">
        <f>'DOE25'!J22</f>
        <v>-1704496.4000000001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134758.24</v>
      </c>
      <c r="D23" s="95">
        <f>'DOE25'!G24</f>
        <v>2434.75</v>
      </c>
      <c r="E23" s="95">
        <f>'DOE25'!H24</f>
        <v>11955.01</v>
      </c>
      <c r="F23" s="95">
        <f>'DOE25'!I24</f>
        <v>1019.98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3821185.87</v>
      </c>
      <c r="D27" s="95">
        <f>'DOE25'!G28</f>
        <v>12595.6</v>
      </c>
      <c r="E27" s="95">
        <f>'DOE25'!H28</f>
        <v>7686.09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3096266.14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12777.25</v>
      </c>
      <c r="D29" s="95">
        <f>'DOE25'!G30</f>
        <v>24797.27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300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98063692.480000004</v>
      </c>
      <c r="D31" s="41">
        <f>SUM(D21:D30)</f>
        <v>6596037.4999999991</v>
      </c>
      <c r="E31" s="41">
        <f>SUM(E21:E30)</f>
        <v>21837053.66</v>
      </c>
      <c r="F31" s="41">
        <f>SUM(F21:F30)</f>
        <v>64173080.280000001</v>
      </c>
      <c r="G31" s="41">
        <f>SUM(G21:G30)</f>
        <v>-1704496.4000000001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65448.36</v>
      </c>
      <c r="D44" s="95">
        <f>'DOE25'!G45</f>
        <v>3808.8</v>
      </c>
      <c r="E44" s="95">
        <f>'DOE25'!H45</f>
        <v>6666.8</v>
      </c>
      <c r="F44" s="95">
        <f>'DOE25'!I45</f>
        <v>14595.94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22947.89</v>
      </c>
      <c r="D47" s="95">
        <f>'DOE25'!G48</f>
        <v>-125895.67</v>
      </c>
      <c r="E47" s="95">
        <f>'DOE25'!H48</f>
        <v>195107.83999999985</v>
      </c>
      <c r="F47" s="95">
        <f>'DOE25'!I48</f>
        <v>2046730.9800000179</v>
      </c>
      <c r="G47" s="95">
        <f>'DOE25'!J48</f>
        <v>5065546.5600000005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2103850.91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2192247.16</v>
      </c>
      <c r="D50" s="41">
        <f>SUM(D34:D49)</f>
        <v>-122086.87</v>
      </c>
      <c r="E50" s="41">
        <f>SUM(E34:E49)</f>
        <v>201774.63999999984</v>
      </c>
      <c r="F50" s="41">
        <f>SUM(F34:F49)</f>
        <v>2061326.9200000179</v>
      </c>
      <c r="G50" s="41">
        <f>SUM(G34:G49)</f>
        <v>5065546.5600000005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100255939.64</v>
      </c>
      <c r="D51" s="41">
        <f>D50+D31</f>
        <v>6473950.629999999</v>
      </c>
      <c r="E51" s="41">
        <f>E50+E31</f>
        <v>22038828.300000001</v>
      </c>
      <c r="F51" s="41">
        <f>F50+F31</f>
        <v>66234407.200000018</v>
      </c>
      <c r="G51" s="41">
        <f>G50+G31</f>
        <v>3361050.16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38120708.880000003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4227057.5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169905.86000000002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0.51</v>
      </c>
      <c r="D59" s="95">
        <f>'DOE25'!G96</f>
        <v>9.7799999999999994</v>
      </c>
      <c r="E59" s="95">
        <f>'DOE25'!H96</f>
        <v>0</v>
      </c>
      <c r="F59" s="95">
        <f>'DOE25'!I96</f>
        <v>210.77</v>
      </c>
      <c r="G59" s="95">
        <f>'DOE25'!J96</f>
        <v>497.68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593412.76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444908.94</v>
      </c>
      <c r="D61" s="95">
        <f>SUM('DOE25'!G98:G110)</f>
        <v>2934.82</v>
      </c>
      <c r="E61" s="95">
        <f>SUM('DOE25'!H98:H110)</f>
        <v>99607.95</v>
      </c>
      <c r="F61" s="95">
        <f>SUM('DOE25'!I98:I110)</f>
        <v>0</v>
      </c>
      <c r="G61" s="95">
        <f>SUM('DOE25'!J98:J110)</f>
        <v>7764.59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4841872.8100000005</v>
      </c>
      <c r="D62" s="130">
        <f>SUM(D57:D61)</f>
        <v>596357.36</v>
      </c>
      <c r="E62" s="130">
        <f>SUM(E57:E61)</f>
        <v>99607.95</v>
      </c>
      <c r="F62" s="130">
        <f>SUM(F57:F61)</f>
        <v>210.77</v>
      </c>
      <c r="G62" s="130">
        <f>SUM(G57:G61)</f>
        <v>8262.27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42962581.690000005</v>
      </c>
      <c r="D63" s="22">
        <f>D56+D62</f>
        <v>596357.36</v>
      </c>
      <c r="E63" s="22">
        <f>E56+E62</f>
        <v>99607.95</v>
      </c>
      <c r="F63" s="22">
        <f>F56+F62</f>
        <v>210.77</v>
      </c>
      <c r="G63" s="22">
        <f>G56+G62</f>
        <v>8262.27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13302671.949999999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8031554.1200000001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21334226.07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1383508.26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373439.64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1060043.8500000001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21893.63</v>
      </c>
      <c r="E77" s="95">
        <f>SUM('DOE25'!H131:H135)</f>
        <v>119820.14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2816991.75</v>
      </c>
      <c r="D78" s="130">
        <f>SUM(D72:D77)</f>
        <v>21893.63</v>
      </c>
      <c r="E78" s="130">
        <f>SUM(E72:E77)</f>
        <v>119820.14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24151217.82</v>
      </c>
      <c r="D81" s="130">
        <f>SUM(D79:D80)+D78+D70</f>
        <v>21893.63</v>
      </c>
      <c r="E81" s="130">
        <f>SUM(E79:E80)+E78+E70</f>
        <v>119820.14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869300.6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1186440.6300000001</v>
      </c>
      <c r="D88" s="95">
        <f>SUM('DOE25'!G153:G161)</f>
        <v>984461.41000000015</v>
      </c>
      <c r="E88" s="95">
        <f>SUM('DOE25'!H153:H161)</f>
        <v>3558319.7000000007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2055741.23</v>
      </c>
      <c r="D91" s="131">
        <f>SUM(D85:D90)</f>
        <v>984461.41000000015</v>
      </c>
      <c r="E91" s="131">
        <f>SUM(E85:E90)</f>
        <v>3558319.7000000007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4472.34</v>
      </c>
      <c r="E96" s="95">
        <f>'DOE25'!H179</f>
        <v>0</v>
      </c>
      <c r="F96" s="95">
        <f>'DOE25'!I179</f>
        <v>0</v>
      </c>
      <c r="G96" s="95">
        <f>'DOE25'!J179</f>
        <v>1029702.62</v>
      </c>
    </row>
    <row r="97" spans="1:7" x14ac:dyDescent="0.2">
      <c r="A97" t="s">
        <v>758</v>
      </c>
      <c r="B97" s="32" t="s">
        <v>188</v>
      </c>
      <c r="C97" s="95">
        <f>SUM('DOE25'!F180:F181)</f>
        <v>94564.52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2181500</v>
      </c>
      <c r="D100" s="95">
        <f>SUM('DOE25'!G186:G187)</f>
        <v>0</v>
      </c>
      <c r="E100" s="95">
        <f>SUM('DOE25'!H186:H187)</f>
        <v>0</v>
      </c>
      <c r="F100" s="95">
        <f>SUM('DOE25'!I186:I187)</f>
        <v>116508.03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549775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2825839.52</v>
      </c>
      <c r="D103" s="86">
        <f>SUM(D93:D102)</f>
        <v>4472.34</v>
      </c>
      <c r="E103" s="86">
        <f>SUM(E93:E102)</f>
        <v>0</v>
      </c>
      <c r="F103" s="86">
        <f>SUM(F93:F102)</f>
        <v>116508.03</v>
      </c>
      <c r="G103" s="86">
        <f>SUM(G93:G102)</f>
        <v>1029702.62</v>
      </c>
    </row>
    <row r="104" spans="1:7" ht="12.75" thickTop="1" thickBot="1" x14ac:dyDescent="0.25">
      <c r="A104" s="33" t="s">
        <v>765</v>
      </c>
      <c r="C104" s="86">
        <f>C63+C81+C91+C103</f>
        <v>71995380.260000005</v>
      </c>
      <c r="D104" s="86">
        <f>D63+D81+D91+D103</f>
        <v>1607184.7400000002</v>
      </c>
      <c r="E104" s="86">
        <f>E63+E81+E91+E103</f>
        <v>3777747.7900000005</v>
      </c>
      <c r="F104" s="86">
        <f>F63+F81+F91+F103</f>
        <v>116718.8</v>
      </c>
      <c r="G104" s="86">
        <f>G63+G81+G103</f>
        <v>1037964.89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27399168.909999996</v>
      </c>
      <c r="D109" s="24" t="s">
        <v>289</v>
      </c>
      <c r="E109" s="95">
        <f>('DOE25'!L276)+('DOE25'!L295)+('DOE25'!L314)</f>
        <v>48139.430000000008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11954658.200000003</v>
      </c>
      <c r="D110" s="24" t="s">
        <v>289</v>
      </c>
      <c r="E110" s="95">
        <f>('DOE25'!L277)+('DOE25'!L296)+('DOE25'!L315)</f>
        <v>1845014.74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1003494.03</v>
      </c>
      <c r="D111" s="24" t="s">
        <v>289</v>
      </c>
      <c r="E111" s="95">
        <f>('DOE25'!L278)+('DOE25'!L297)+('DOE25'!L316)</f>
        <v>172902.06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855572.6100000001</v>
      </c>
      <c r="D112" s="24" t="s">
        <v>289</v>
      </c>
      <c r="E112" s="95">
        <f>+('DOE25'!L279)+('DOE25'!L298)+('DOE25'!L317)</f>
        <v>372239.74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408043.58</v>
      </c>
      <c r="D114" s="24" t="s">
        <v>289</v>
      </c>
      <c r="E114" s="95">
        <f>+ SUM('DOE25'!L333:L335)</f>
        <v>134046.47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41620937.329999998</v>
      </c>
      <c r="D115" s="86">
        <f>SUM(D109:D114)</f>
        <v>0</v>
      </c>
      <c r="E115" s="86">
        <f>SUM(E109:E114)</f>
        <v>2572342.44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5075465.78</v>
      </c>
      <c r="D118" s="24" t="s">
        <v>289</v>
      </c>
      <c r="E118" s="95">
        <f>+('DOE25'!L281)+('DOE25'!L300)+('DOE25'!L319)</f>
        <v>282553.24000000005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2820246.55</v>
      </c>
      <c r="D119" s="24" t="s">
        <v>289</v>
      </c>
      <c r="E119" s="95">
        <f>+('DOE25'!L282)+('DOE25'!L301)+('DOE25'!L320)</f>
        <v>648060.8899999999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955932.69000000006</v>
      </c>
      <c r="D120" s="24" t="s">
        <v>289</v>
      </c>
      <c r="E120" s="95">
        <f>+('DOE25'!L283)+('DOE25'!L302)+('DOE25'!L321)</f>
        <v>27828.400000000001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3454506.21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629213.40999999992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6244669.54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2934895.6399999997</v>
      </c>
      <c r="D124" s="24" t="s">
        <v>289</v>
      </c>
      <c r="E124" s="95">
        <f>+('DOE25'!L287)+('DOE25'!L306)+('DOE25'!L325)</f>
        <v>106556.37999999999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465270.05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1733193.0899999999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22580199.870000001</v>
      </c>
      <c r="D128" s="86">
        <f>SUM(D118:D127)</f>
        <v>1733193.0899999999</v>
      </c>
      <c r="E128" s="86">
        <f>SUM(E118:E127)</f>
        <v>1064998.9099999999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445703.62</v>
      </c>
      <c r="D130" s="24" t="s">
        <v>289</v>
      </c>
      <c r="E130" s="129">
        <f>'DOE25'!L336</f>
        <v>24450</v>
      </c>
      <c r="F130" s="129">
        <f>SUM('DOE25'!L374:'DOE25'!L380)</f>
        <v>242197.94999999998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3980261.41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3037281.75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91765.52</v>
      </c>
      <c r="F134" s="95">
        <f>'DOE25'!K381</f>
        <v>0</v>
      </c>
      <c r="G134" s="95">
        <f>'DOE25'!K434</f>
        <v>2298008.0299999998</v>
      </c>
    </row>
    <row r="135" spans="1:7" x14ac:dyDescent="0.2">
      <c r="A135" t="s">
        <v>233</v>
      </c>
      <c r="B135" s="32" t="s">
        <v>234</v>
      </c>
      <c r="C135" s="95">
        <f>'DOE25'!L263</f>
        <v>4472.34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1037964.89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-8262.2700000000186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8497421.7400000002</v>
      </c>
      <c r="D144" s="141">
        <f>SUM(D130:D143)</f>
        <v>0</v>
      </c>
      <c r="E144" s="141">
        <f>SUM(E130:E143)</f>
        <v>116215.52</v>
      </c>
      <c r="F144" s="141">
        <f>SUM(F130:F143)</f>
        <v>242197.94999999998</v>
      </c>
      <c r="G144" s="141">
        <f>SUM(G130:G143)</f>
        <v>2298008.0299999998</v>
      </c>
    </row>
    <row r="145" spans="1:9" ht="12.75" thickTop="1" thickBot="1" x14ac:dyDescent="0.25">
      <c r="A145" s="33" t="s">
        <v>244</v>
      </c>
      <c r="C145" s="86">
        <f>(C115+C128+C144)</f>
        <v>72698558.939999998</v>
      </c>
      <c r="D145" s="86">
        <f>(D115+D128+D144)</f>
        <v>1733193.0899999999</v>
      </c>
      <c r="E145" s="86">
        <f>(E115+E128+E144)</f>
        <v>3753556.8699999996</v>
      </c>
      <c r="F145" s="86">
        <f>(F115+F128+F144)</f>
        <v>242197.94999999998</v>
      </c>
      <c r="G145" s="86">
        <f>(G115+G128+G144)</f>
        <v>2298008.0299999998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11/91 - 12/10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04/40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33198041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 t="str">
        <f>'DOE25'!F494</f>
        <v>See attached page for details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60303640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60303640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3826700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3826700</v>
      </c>
    </row>
    <row r="159" spans="1:9" x14ac:dyDescent="0.2">
      <c r="A159" s="22" t="s">
        <v>35</v>
      </c>
      <c r="B159" s="137">
        <f>'DOE25'!F498</f>
        <v>56476940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56476940</v>
      </c>
    </row>
    <row r="160" spans="1:9" x14ac:dyDescent="0.2">
      <c r="A160" s="22" t="s">
        <v>36</v>
      </c>
      <c r="B160" s="137">
        <f>'DOE25'!F499</f>
        <v>26367657.199999999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26367657.199999999</v>
      </c>
    </row>
    <row r="161" spans="1:7" x14ac:dyDescent="0.2">
      <c r="A161" s="22" t="s">
        <v>37</v>
      </c>
      <c r="B161" s="137">
        <f>'DOE25'!F500</f>
        <v>82844597.200000003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82844597.200000003</v>
      </c>
    </row>
    <row r="162" spans="1:7" x14ac:dyDescent="0.2">
      <c r="A162" s="22" t="s">
        <v>38</v>
      </c>
      <c r="B162" s="137">
        <f>'DOE25'!F501</f>
        <v>3481905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3481905</v>
      </c>
    </row>
    <row r="163" spans="1:7" x14ac:dyDescent="0.2">
      <c r="A163" s="22" t="s">
        <v>39</v>
      </c>
      <c r="B163" s="137">
        <f>'DOE25'!F502</f>
        <v>2076823.13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2076823.13</v>
      </c>
    </row>
    <row r="164" spans="1:7" x14ac:dyDescent="0.2">
      <c r="A164" s="22" t="s">
        <v>246</v>
      </c>
      <c r="B164" s="137">
        <f>'DOE25'!F503</f>
        <v>5558728.1299999999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5558728.1299999999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D35" sqref="D35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Concord Sd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14383</v>
      </c>
    </row>
    <row r="5" spans="1:4" x14ac:dyDescent="0.2">
      <c r="B5" t="s">
        <v>704</v>
      </c>
      <c r="C5" s="179">
        <f>IF('DOE25'!G665+'DOE25'!G670=0,0,ROUND('DOE25'!G672,0))</f>
        <v>13270</v>
      </c>
    </row>
    <row r="6" spans="1:4" x14ac:dyDescent="0.2">
      <c r="B6" t="s">
        <v>62</v>
      </c>
      <c r="C6" s="179">
        <f>IF('DOE25'!H665+'DOE25'!H670=0,0,ROUND('DOE25'!H672,0))</f>
        <v>12851</v>
      </c>
    </row>
    <row r="7" spans="1:4" x14ac:dyDescent="0.2">
      <c r="B7" t="s">
        <v>705</v>
      </c>
      <c r="C7" s="179">
        <f>IF('DOE25'!I665+'DOE25'!I670=0,0,ROUND('DOE25'!I672,0))</f>
        <v>13559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27447308</v>
      </c>
      <c r="D10" s="182">
        <f>ROUND((C10/$C$28)*100,1)</f>
        <v>38.1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13799673</v>
      </c>
      <c r="D11" s="182">
        <f>ROUND((C11/$C$28)*100,1)</f>
        <v>19.2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1176396</v>
      </c>
      <c r="D12" s="182">
        <f>ROUND((C12/$C$28)*100,1)</f>
        <v>1.6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1227812</v>
      </c>
      <c r="D13" s="182">
        <f>ROUND((C13/$C$28)*100,1)</f>
        <v>1.7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5358019</v>
      </c>
      <c r="D15" s="182">
        <f t="shared" ref="D15:D27" si="0">ROUND((C15/$C$28)*100,1)</f>
        <v>7.4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3468307</v>
      </c>
      <c r="D16" s="182">
        <f t="shared" si="0"/>
        <v>4.8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1449031</v>
      </c>
      <c r="D17" s="182">
        <f t="shared" si="0"/>
        <v>2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3454506</v>
      </c>
      <c r="D18" s="182">
        <f t="shared" si="0"/>
        <v>4.8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629213</v>
      </c>
      <c r="D19" s="182">
        <f t="shared" si="0"/>
        <v>0.9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6244670</v>
      </c>
      <c r="D20" s="182">
        <f t="shared" si="0"/>
        <v>8.6999999999999993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3041452</v>
      </c>
      <c r="D21" s="182">
        <f t="shared" si="0"/>
        <v>4.2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542090</v>
      </c>
      <c r="D24" s="182">
        <f t="shared" si="0"/>
        <v>0.8</v>
      </c>
    </row>
    <row r="25" spans="1:4" x14ac:dyDescent="0.2">
      <c r="A25">
        <v>5120</v>
      </c>
      <c r="B25" t="s">
        <v>720</v>
      </c>
      <c r="C25" s="179">
        <f>ROUND('DOE25'!L261+'DOE25'!L342,0)</f>
        <v>3037282</v>
      </c>
      <c r="D25" s="182">
        <f t="shared" si="0"/>
        <v>4.2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1136845.42</v>
      </c>
      <c r="D27" s="182">
        <f t="shared" si="0"/>
        <v>1.6</v>
      </c>
    </row>
    <row r="28" spans="1:4" x14ac:dyDescent="0.2">
      <c r="B28" s="187" t="s">
        <v>723</v>
      </c>
      <c r="C28" s="180">
        <f>SUM(C10:C27)</f>
        <v>72012604.420000002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712352</v>
      </c>
    </row>
    <row r="30" spans="1:4" x14ac:dyDescent="0.2">
      <c r="B30" s="187" t="s">
        <v>729</v>
      </c>
      <c r="C30" s="180">
        <f>SUM(C28:C29)</f>
        <v>72724956.420000002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3980261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38120709</v>
      </c>
      <c r="D35" s="182">
        <f t="shared" ref="D35:D40" si="1">ROUND((C35/$C$41)*100,1)</f>
        <v>51.2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4949963.4600000158</v>
      </c>
      <c r="D36" s="182">
        <f t="shared" si="1"/>
        <v>6.6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21334226</v>
      </c>
      <c r="D37" s="182">
        <f t="shared" si="1"/>
        <v>28.6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2958706</v>
      </c>
      <c r="D38" s="182">
        <f t="shared" si="1"/>
        <v>4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6598522</v>
      </c>
      <c r="D39" s="182">
        <f t="shared" si="1"/>
        <v>8.9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549775</v>
      </c>
      <c r="D40" s="182">
        <f t="shared" si="1"/>
        <v>0.7</v>
      </c>
    </row>
    <row r="41" spans="1:4" x14ac:dyDescent="0.2">
      <c r="B41" s="187" t="s">
        <v>736</v>
      </c>
      <c r="C41" s="180">
        <f>SUM(C35:C40)</f>
        <v>74511901.460000008</v>
      </c>
      <c r="D41" s="184">
        <f>SUM(D35:D40)</f>
        <v>100.00000000000001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Concord Sd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2014-11-03T18:16:44Z</cp:lastPrinted>
  <dcterms:created xsi:type="dcterms:W3CDTF">1997-12-04T19:04:30Z</dcterms:created>
  <dcterms:modified xsi:type="dcterms:W3CDTF">2014-12-05T15:58:38Z</dcterms:modified>
</cp:coreProperties>
</file>