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0" yWindow="0" windowWidth="20160" windowHeight="903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20" i="12" l="1"/>
  <c r="B20" i="12"/>
  <c r="C19" i="12"/>
  <c r="C10" i="12"/>
  <c r="C12" i="12"/>
  <c r="C39" i="12"/>
  <c r="B39" i="12"/>
  <c r="C28" i="12"/>
  <c r="B28" i="12"/>
  <c r="B19" i="12"/>
  <c r="B10" i="12"/>
  <c r="B12" i="12"/>
  <c r="B11" i="12"/>
  <c r="H582" i="1"/>
  <c r="G582" i="1"/>
  <c r="F582" i="1"/>
  <c r="J591" i="1"/>
  <c r="H543" i="1"/>
  <c r="J592" i="1" s="1"/>
  <c r="H592" i="1"/>
  <c r="J594" i="1"/>
  <c r="G523" i="1"/>
  <c r="G531" i="1"/>
  <c r="G528" i="1"/>
  <c r="G527" i="1"/>
  <c r="G526" i="1"/>
  <c r="F523" i="1"/>
  <c r="F522" i="1"/>
  <c r="F521" i="1"/>
  <c r="H523" i="1"/>
  <c r="H522" i="1"/>
  <c r="H521" i="1"/>
  <c r="D11" i="13" l="1"/>
  <c r="I564" i="1"/>
  <c r="I563" i="1"/>
  <c r="I562" i="1"/>
  <c r="H564" i="1"/>
  <c r="H563" i="1"/>
  <c r="H562" i="1"/>
  <c r="F564" i="1"/>
  <c r="F563" i="1"/>
  <c r="F562" i="1"/>
  <c r="H613" i="1"/>
  <c r="H612" i="1"/>
  <c r="H611" i="1"/>
  <c r="I613" i="1"/>
  <c r="I612" i="1"/>
  <c r="I611" i="1"/>
  <c r="F613" i="1"/>
  <c r="F612" i="1"/>
  <c r="F611" i="1"/>
  <c r="G242" i="1"/>
  <c r="G224" i="1"/>
  <c r="G206" i="1"/>
  <c r="K263" i="1"/>
  <c r="I591" i="1"/>
  <c r="H591" i="1"/>
  <c r="H243" i="1"/>
  <c r="I221" i="1"/>
  <c r="I240" i="1"/>
  <c r="I222" i="1"/>
  <c r="I204" i="1"/>
  <c r="I243" i="1"/>
  <c r="I241" i="1"/>
  <c r="I239" i="1"/>
  <c r="I238" i="1"/>
  <c r="I236" i="1"/>
  <c r="I235" i="1"/>
  <c r="I234" i="1"/>
  <c r="I233" i="1"/>
  <c r="I225" i="1"/>
  <c r="I223" i="1"/>
  <c r="I220" i="1"/>
  <c r="I218" i="1"/>
  <c r="I217" i="1"/>
  <c r="I216" i="1"/>
  <c r="I215" i="1"/>
  <c r="I207" i="1"/>
  <c r="I205" i="1"/>
  <c r="I203" i="1"/>
  <c r="I202" i="1"/>
  <c r="I197" i="1"/>
  <c r="I200" i="1"/>
  <c r="I198" i="1"/>
  <c r="I208" i="1"/>
  <c r="I226" i="1"/>
  <c r="H234" i="1"/>
  <c r="J604" i="1"/>
  <c r="I604" i="1"/>
  <c r="H604" i="1"/>
  <c r="H244" i="1"/>
  <c r="H226" i="1"/>
  <c r="H208" i="1"/>
  <c r="J595" i="1"/>
  <c r="I595" i="1"/>
  <c r="I594" i="1"/>
  <c r="H595" i="1"/>
  <c r="I592" i="1"/>
  <c r="F49" i="1"/>
  <c r="G522" i="1" l="1"/>
  <c r="F528" i="1"/>
  <c r="I528" i="1"/>
  <c r="H528" i="1"/>
  <c r="I527" i="1"/>
  <c r="F527" i="1"/>
  <c r="J527" i="1"/>
  <c r="F526" i="1"/>
  <c r="I526" i="1"/>
  <c r="J526" i="1"/>
  <c r="J521" i="1"/>
  <c r="I521" i="1"/>
  <c r="G521" i="1"/>
  <c r="K533" i="1"/>
  <c r="K532" i="1"/>
  <c r="K531" i="1"/>
  <c r="I523" i="1"/>
  <c r="H538" i="1"/>
  <c r="H537" i="1"/>
  <c r="H536" i="1"/>
  <c r="F465" i="1" l="1"/>
  <c r="F24" i="1"/>
  <c r="F22" i="1"/>
  <c r="F12" i="1"/>
  <c r="F531" i="1" l="1"/>
  <c r="I522" i="1"/>
  <c r="H526" i="1"/>
  <c r="H542" i="1"/>
  <c r="G533" i="1"/>
  <c r="G532" i="1"/>
  <c r="F533" i="1"/>
  <c r="F532" i="1"/>
  <c r="F498" i="1"/>
  <c r="J179" i="1"/>
  <c r="J465" i="1"/>
  <c r="G440" i="1"/>
  <c r="F440" i="1"/>
  <c r="H459" i="1"/>
  <c r="H378" i="1"/>
  <c r="K378" i="1"/>
  <c r="I465" i="1"/>
  <c r="I49" i="1"/>
  <c r="H22" i="1" l="1"/>
  <c r="H49" i="1"/>
  <c r="H13" i="1"/>
  <c r="G469" i="1"/>
  <c r="G9" i="1"/>
  <c r="F468" i="1"/>
  <c r="G216" i="1"/>
  <c r="G233" i="1"/>
  <c r="G215" i="1"/>
  <c r="G197" i="1"/>
  <c r="F233" i="1"/>
  <c r="F215" i="1"/>
  <c r="F197" i="1"/>
  <c r="F198" i="1"/>
  <c r="G198" i="1" s="1"/>
  <c r="F216" i="1"/>
  <c r="F234" i="1"/>
  <c r="F223" i="1"/>
  <c r="F221" i="1"/>
  <c r="F220" i="1"/>
  <c r="F217" i="1"/>
  <c r="G220" i="1"/>
  <c r="G217" i="1"/>
  <c r="F205" i="1"/>
  <c r="G205" i="1" s="1"/>
  <c r="F203" i="1"/>
  <c r="F202" i="1"/>
  <c r="G202" i="1" s="1"/>
  <c r="G203" i="1"/>
  <c r="G223" i="1"/>
  <c r="G241" i="1"/>
  <c r="G234" i="1"/>
  <c r="G243" i="1"/>
  <c r="G240" i="1"/>
  <c r="G239" i="1"/>
  <c r="G238" i="1"/>
  <c r="G236" i="1"/>
  <c r="G235" i="1"/>
  <c r="G225" i="1"/>
  <c r="G222" i="1"/>
  <c r="G221" i="1"/>
  <c r="G218" i="1"/>
  <c r="G207" i="1"/>
  <c r="G204" i="1"/>
  <c r="J234" i="1"/>
  <c r="J198" i="1"/>
  <c r="K234" i="1"/>
  <c r="K216" i="1"/>
  <c r="K198" i="1"/>
  <c r="J203" i="1"/>
  <c r="F204" i="1"/>
  <c r="H216" i="1"/>
  <c r="H198" i="1"/>
  <c r="K240" i="1" l="1"/>
  <c r="K222" i="1"/>
  <c r="K204" i="1"/>
  <c r="H240" i="1"/>
  <c r="H222" i="1"/>
  <c r="H204" i="1"/>
  <c r="F240" i="1"/>
  <c r="F222" i="1"/>
  <c r="K261" i="1"/>
  <c r="K260" i="1"/>
  <c r="I244" i="1"/>
  <c r="J243" i="1"/>
  <c r="J225" i="1"/>
  <c r="J207" i="1"/>
  <c r="H225" i="1"/>
  <c r="H207" i="1"/>
  <c r="F243" i="1"/>
  <c r="F225" i="1"/>
  <c r="F207" i="1"/>
  <c r="H203" i="1"/>
  <c r="H239" i="1"/>
  <c r="H221" i="1"/>
  <c r="F239" i="1"/>
  <c r="J238" i="1"/>
  <c r="J220" i="1"/>
  <c r="J202" i="1"/>
  <c r="H238" i="1"/>
  <c r="H220" i="1"/>
  <c r="H202" i="1"/>
  <c r="F238" i="1"/>
  <c r="H215" i="1"/>
  <c r="H233" i="1"/>
  <c r="H197" i="1"/>
  <c r="F9" i="1"/>
  <c r="G179" i="1"/>
  <c r="J205" i="1" l="1"/>
  <c r="H245" i="1" l="1"/>
  <c r="K241" i="1"/>
  <c r="H241" i="1"/>
  <c r="F241" i="1"/>
  <c r="J239" i="1"/>
  <c r="K238" i="1"/>
  <c r="J236" i="1"/>
  <c r="K236" i="1"/>
  <c r="H236" i="1"/>
  <c r="F236" i="1"/>
  <c r="F235" i="1"/>
  <c r="J235" i="1"/>
  <c r="H235" i="1"/>
  <c r="K233" i="1"/>
  <c r="J233" i="1"/>
  <c r="K223" i="1"/>
  <c r="J223" i="1"/>
  <c r="H223" i="1"/>
  <c r="J221" i="1"/>
  <c r="K218" i="1"/>
  <c r="J218" i="1"/>
  <c r="H218" i="1"/>
  <c r="F218" i="1"/>
  <c r="J217" i="1"/>
  <c r="H217" i="1"/>
  <c r="J216" i="1"/>
  <c r="K215" i="1"/>
  <c r="J215" i="1"/>
  <c r="K205" i="1"/>
  <c r="H205" i="1"/>
  <c r="H200" i="1"/>
  <c r="F200" i="1"/>
  <c r="K197" i="1"/>
  <c r="J197" i="1"/>
  <c r="F36" i="1" l="1"/>
  <c r="F44" i="1"/>
  <c r="F10" i="1" l="1"/>
  <c r="F160" i="1"/>
  <c r="F63" i="1" l="1"/>
  <c r="H287" i="1" l="1"/>
  <c r="H325" i="1"/>
  <c r="H306" i="1"/>
  <c r="G35" i="1" l="1"/>
  <c r="G465" i="1"/>
  <c r="G472" i="1" l="1"/>
  <c r="F367" i="1"/>
  <c r="F368" i="1"/>
  <c r="G367" i="1"/>
  <c r="H367" i="1"/>
  <c r="H368" i="1"/>
  <c r="G368" i="1"/>
  <c r="K360" i="1"/>
  <c r="K359" i="1"/>
  <c r="K358" i="1"/>
  <c r="I360" i="1"/>
  <c r="I359" i="1"/>
  <c r="I358" i="1"/>
  <c r="H360" i="1"/>
  <c r="H359" i="1"/>
  <c r="H358" i="1"/>
  <c r="G360" i="1"/>
  <c r="G359" i="1"/>
  <c r="G358" i="1"/>
  <c r="F360" i="1"/>
  <c r="F359" i="1"/>
  <c r="F358" i="1"/>
  <c r="G158" i="1"/>
  <c r="G99" i="1"/>
  <c r="G97" i="1"/>
  <c r="H468" i="1" l="1"/>
  <c r="H161" i="1"/>
  <c r="H154" i="1"/>
  <c r="H159" i="1"/>
  <c r="H156" i="1"/>
  <c r="H157" i="1"/>
  <c r="H301" i="1"/>
  <c r="H282" i="1"/>
  <c r="K277" i="1"/>
  <c r="I277" i="1"/>
  <c r="H315" i="1"/>
  <c r="G315" i="1"/>
  <c r="F315" i="1"/>
  <c r="G277" i="1"/>
  <c r="F277" i="1"/>
  <c r="G296" i="1"/>
  <c r="F296" i="1"/>
  <c r="K344" i="1"/>
  <c r="H284" i="1"/>
  <c r="G284" i="1"/>
  <c r="F284" i="1"/>
  <c r="K281" i="1"/>
  <c r="J281" i="1"/>
  <c r="I281" i="1"/>
  <c r="G281" i="1"/>
  <c r="F281" i="1"/>
  <c r="K276" i="1"/>
  <c r="I276" i="1"/>
  <c r="G276" i="1"/>
  <c r="F276" i="1"/>
  <c r="H316" i="1"/>
  <c r="K316" i="1"/>
  <c r="I316" i="1"/>
  <c r="J316" i="1"/>
  <c r="K314" i="1"/>
  <c r="G314" i="1" l="1"/>
  <c r="H314" i="1"/>
  <c r="H295" i="1"/>
  <c r="H276" i="1"/>
  <c r="G295" i="1"/>
  <c r="H296" i="1"/>
  <c r="H320" i="1"/>
  <c r="F314" i="1"/>
  <c r="F295" i="1"/>
  <c r="I295" i="1"/>
  <c r="H277" i="1"/>
  <c r="I333" i="1"/>
  <c r="H333" i="1"/>
  <c r="G333" i="1"/>
  <c r="C45" i="2" l="1"/>
  <c r="C37" i="10" l="1"/>
  <c r="F40" i="2" l="1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G651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E120" i="2" s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79" i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C142" i="2" s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D56" i="2"/>
  <c r="F56" i="2"/>
  <c r="C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2" i="2"/>
  <c r="C113" i="2"/>
  <c r="E113" i="2"/>
  <c r="C114" i="2"/>
  <c r="D115" i="2"/>
  <c r="F115" i="2"/>
  <c r="G115" i="2"/>
  <c r="E121" i="2"/>
  <c r="E123" i="2"/>
  <c r="E125" i="2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G620" i="1" s="1"/>
  <c r="F32" i="1"/>
  <c r="G32" i="1"/>
  <c r="H32" i="1"/>
  <c r="I32" i="1"/>
  <c r="H51" i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H643" i="1" s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H460" i="1"/>
  <c r="H461" i="1"/>
  <c r="H641" i="1" s="1"/>
  <c r="J641" i="1" s="1"/>
  <c r="F470" i="1"/>
  <c r="H470" i="1"/>
  <c r="I470" i="1"/>
  <c r="G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J571" i="1" s="1"/>
  <c r="K560" i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4" i="1"/>
  <c r="H627" i="1"/>
  <c r="H629" i="1"/>
  <c r="H630" i="1"/>
  <c r="H635" i="1"/>
  <c r="H638" i="1"/>
  <c r="G641" i="1"/>
  <c r="G643" i="1"/>
  <c r="G644" i="1"/>
  <c r="G645" i="1"/>
  <c r="G652" i="1"/>
  <c r="H652" i="1"/>
  <c r="G653" i="1"/>
  <c r="H653" i="1"/>
  <c r="G654" i="1"/>
  <c r="H654" i="1"/>
  <c r="H655" i="1"/>
  <c r="E31" i="2"/>
  <c r="E78" i="2"/>
  <c r="L427" i="1"/>
  <c r="H112" i="1"/>
  <c r="K571" i="1"/>
  <c r="I169" i="1"/>
  <c r="J643" i="1"/>
  <c r="J140" i="1"/>
  <c r="C29" i="10"/>
  <c r="H140" i="1"/>
  <c r="L393" i="1"/>
  <c r="C138" i="2" s="1"/>
  <c r="F22" i="13"/>
  <c r="L560" i="1"/>
  <c r="J655" i="1"/>
  <c r="G36" i="2"/>
  <c r="C22" i="13"/>
  <c r="A40" i="12" l="1"/>
  <c r="A31" i="12"/>
  <c r="A13" i="12"/>
  <c r="J552" i="1"/>
  <c r="H571" i="1"/>
  <c r="L565" i="1"/>
  <c r="F571" i="1"/>
  <c r="G156" i="2"/>
  <c r="F18" i="2"/>
  <c r="C91" i="2"/>
  <c r="E62" i="2"/>
  <c r="E63" i="2" s="1"/>
  <c r="G164" i="2"/>
  <c r="D31" i="2"/>
  <c r="E103" i="2"/>
  <c r="D91" i="2"/>
  <c r="F78" i="2"/>
  <c r="F81" i="2" s="1"/>
  <c r="D19" i="13"/>
  <c r="C19" i="13" s="1"/>
  <c r="C19" i="10"/>
  <c r="C122" i="2"/>
  <c r="K605" i="1"/>
  <c r="G648" i="1" s="1"/>
  <c r="K598" i="1"/>
  <c r="G647" i="1" s="1"/>
  <c r="J651" i="1"/>
  <c r="I545" i="1"/>
  <c r="K545" i="1"/>
  <c r="L524" i="1"/>
  <c r="F552" i="1"/>
  <c r="I552" i="1"/>
  <c r="H545" i="1"/>
  <c r="K551" i="1"/>
  <c r="L544" i="1"/>
  <c r="G552" i="1"/>
  <c r="G545" i="1"/>
  <c r="K550" i="1"/>
  <c r="L534" i="1"/>
  <c r="H552" i="1"/>
  <c r="K549" i="1"/>
  <c r="G161" i="2"/>
  <c r="G408" i="1"/>
  <c r="H645" i="1" s="1"/>
  <c r="J645" i="1" s="1"/>
  <c r="J644" i="1"/>
  <c r="G62" i="2"/>
  <c r="I446" i="1"/>
  <c r="G642" i="1" s="1"/>
  <c r="G640" i="1"/>
  <c r="G459" i="1"/>
  <c r="G460" i="1" s="1"/>
  <c r="G461" i="1" s="1"/>
  <c r="H640" i="1" s="1"/>
  <c r="J640" i="1" s="1"/>
  <c r="G639" i="1"/>
  <c r="F459" i="1"/>
  <c r="L401" i="1"/>
  <c r="C139" i="2" s="1"/>
  <c r="F130" i="2"/>
  <c r="F144" i="2" s="1"/>
  <c r="F145" i="2" s="1"/>
  <c r="F50" i="1"/>
  <c r="H52" i="1"/>
  <c r="H619" i="1" s="1"/>
  <c r="J619" i="1" s="1"/>
  <c r="C18" i="10"/>
  <c r="C132" i="2"/>
  <c r="L270" i="1"/>
  <c r="G662" i="1"/>
  <c r="C120" i="2"/>
  <c r="G617" i="1"/>
  <c r="G618" i="1"/>
  <c r="C20" i="10"/>
  <c r="E16" i="13"/>
  <c r="C16" i="13" s="1"/>
  <c r="C17" i="10"/>
  <c r="D14" i="13"/>
  <c r="C14" i="13" s="1"/>
  <c r="C121" i="2"/>
  <c r="C119" i="2"/>
  <c r="D6" i="13"/>
  <c r="C6" i="13" s="1"/>
  <c r="C118" i="2"/>
  <c r="G257" i="1"/>
  <c r="G271" i="1" s="1"/>
  <c r="C111" i="2"/>
  <c r="L247" i="1"/>
  <c r="C110" i="2"/>
  <c r="K257" i="1"/>
  <c r="K271" i="1" s="1"/>
  <c r="D15" i="13"/>
  <c r="C15" i="13" s="1"/>
  <c r="C123" i="2"/>
  <c r="D12" i="13"/>
  <c r="C12" i="13" s="1"/>
  <c r="C112" i="2"/>
  <c r="I257" i="1"/>
  <c r="I271" i="1" s="1"/>
  <c r="L229" i="1"/>
  <c r="G660" i="1" s="1"/>
  <c r="J257" i="1"/>
  <c r="J271" i="1" s="1"/>
  <c r="H257" i="1"/>
  <c r="H271" i="1" s="1"/>
  <c r="C109" i="2"/>
  <c r="G649" i="1"/>
  <c r="J649" i="1" s="1"/>
  <c r="C124" i="2"/>
  <c r="F662" i="1"/>
  <c r="D7" i="13"/>
  <c r="C7" i="13" s="1"/>
  <c r="C13" i="10"/>
  <c r="D5" i="13"/>
  <c r="C5" i="13" s="1"/>
  <c r="F257" i="1"/>
  <c r="F271" i="1" s="1"/>
  <c r="C18" i="2"/>
  <c r="F112" i="1"/>
  <c r="C78" i="2"/>
  <c r="C35" i="10"/>
  <c r="H662" i="1"/>
  <c r="C21" i="10"/>
  <c r="F661" i="1"/>
  <c r="J634" i="1"/>
  <c r="H661" i="1"/>
  <c r="D29" i="13"/>
  <c r="C29" i="13" s="1"/>
  <c r="D127" i="2"/>
  <c r="D128" i="2" s="1"/>
  <c r="D62" i="2"/>
  <c r="D63" i="2" s="1"/>
  <c r="E124" i="2"/>
  <c r="C15" i="10"/>
  <c r="C12" i="10"/>
  <c r="J338" i="1"/>
  <c r="J352" i="1" s="1"/>
  <c r="E111" i="2"/>
  <c r="L328" i="1"/>
  <c r="E119" i="2"/>
  <c r="L309" i="1"/>
  <c r="C11" i="10"/>
  <c r="E109" i="2"/>
  <c r="G338" i="1"/>
  <c r="G352" i="1" s="1"/>
  <c r="F338" i="1"/>
  <c r="F352" i="1" s="1"/>
  <c r="H338" i="1"/>
  <c r="H352" i="1" s="1"/>
  <c r="L351" i="1"/>
  <c r="C10" i="10"/>
  <c r="C81" i="2"/>
  <c r="K500" i="1"/>
  <c r="I452" i="1"/>
  <c r="D145" i="2"/>
  <c r="E132" i="2"/>
  <c r="G661" i="1"/>
  <c r="L211" i="1"/>
  <c r="C16" i="10"/>
  <c r="L362" i="1"/>
  <c r="C27" i="10" s="1"/>
  <c r="E13" i="13"/>
  <c r="C13" i="13" s="1"/>
  <c r="E8" i="13"/>
  <c r="C8" i="13" s="1"/>
  <c r="L290" i="1"/>
  <c r="C26" i="10"/>
  <c r="L539" i="1"/>
  <c r="K503" i="1"/>
  <c r="L382" i="1"/>
  <c r="K338" i="1"/>
  <c r="K352" i="1" s="1"/>
  <c r="G81" i="2"/>
  <c r="C62" i="2"/>
  <c r="C63" i="2" s="1"/>
  <c r="G112" i="1"/>
  <c r="H25" i="13"/>
  <c r="E81" i="2"/>
  <c r="H647" i="1"/>
  <c r="G625" i="1"/>
  <c r="L614" i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42" i="2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C36" i="10" l="1"/>
  <c r="J647" i="1"/>
  <c r="K552" i="1"/>
  <c r="L545" i="1"/>
  <c r="I459" i="1"/>
  <c r="F460" i="1"/>
  <c r="F461" i="1" s="1"/>
  <c r="H639" i="1" s="1"/>
  <c r="J639" i="1" s="1"/>
  <c r="L408" i="1"/>
  <c r="H646" i="1" s="1"/>
  <c r="J646" i="1" s="1"/>
  <c r="C141" i="2"/>
  <c r="C144" i="2" s="1"/>
  <c r="G636" i="1"/>
  <c r="I472" i="1"/>
  <c r="I662" i="1"/>
  <c r="F51" i="1"/>
  <c r="C49" i="2"/>
  <c r="C50" i="2" s="1"/>
  <c r="C51" i="2" s="1"/>
  <c r="G51" i="1"/>
  <c r="D39" i="2"/>
  <c r="D50" i="2" s="1"/>
  <c r="D51" i="2" s="1"/>
  <c r="H660" i="1"/>
  <c r="H664" i="1" s="1"/>
  <c r="H667" i="1" s="1"/>
  <c r="C128" i="2"/>
  <c r="C115" i="2"/>
  <c r="L257" i="1"/>
  <c r="L271" i="1" s="1"/>
  <c r="C104" i="2"/>
  <c r="I661" i="1"/>
  <c r="G635" i="1"/>
  <c r="J635" i="1" s="1"/>
  <c r="G664" i="1"/>
  <c r="G672" i="1" s="1"/>
  <c r="C5" i="10" s="1"/>
  <c r="E104" i="2"/>
  <c r="E128" i="2"/>
  <c r="H648" i="1"/>
  <c r="J648" i="1" s="1"/>
  <c r="E115" i="2"/>
  <c r="L338" i="1"/>
  <c r="L352" i="1" s="1"/>
  <c r="C28" i="10"/>
  <c r="D19" i="10" s="1"/>
  <c r="F660" i="1"/>
  <c r="D31" i="13"/>
  <c r="C31" i="13" s="1"/>
  <c r="C25" i="13"/>
  <c r="H33" i="13"/>
  <c r="E33" i="13"/>
  <c r="D35" i="13" s="1"/>
  <c r="G104" i="2"/>
  <c r="G631" i="1"/>
  <c r="G193" i="1"/>
  <c r="C38" i="10"/>
  <c r="E145" i="2" l="1"/>
  <c r="G637" i="1"/>
  <c r="J468" i="1"/>
  <c r="H631" i="1" s="1"/>
  <c r="J631" i="1" s="1"/>
  <c r="J48" i="1"/>
  <c r="I460" i="1"/>
  <c r="I461" i="1" s="1"/>
  <c r="H642" i="1" s="1"/>
  <c r="J642" i="1" s="1"/>
  <c r="H636" i="1"/>
  <c r="J636" i="1" s="1"/>
  <c r="I474" i="1"/>
  <c r="I476" i="1" s="1"/>
  <c r="H625" i="1" s="1"/>
  <c r="J625" i="1" s="1"/>
  <c r="G632" i="1"/>
  <c r="F472" i="1"/>
  <c r="G622" i="1"/>
  <c r="F52" i="1"/>
  <c r="H617" i="1" s="1"/>
  <c r="J617" i="1" s="1"/>
  <c r="G52" i="1"/>
  <c r="H618" i="1" s="1"/>
  <c r="J618" i="1" s="1"/>
  <c r="G623" i="1"/>
  <c r="G628" i="1"/>
  <c r="G468" i="1"/>
  <c r="C145" i="2"/>
  <c r="G633" i="1"/>
  <c r="H472" i="1"/>
  <c r="H672" i="1"/>
  <c r="C6" i="10" s="1"/>
  <c r="G667" i="1"/>
  <c r="D13" i="10"/>
  <c r="D11" i="10"/>
  <c r="D18" i="10"/>
  <c r="D12" i="10"/>
  <c r="C30" i="10"/>
  <c r="D23" i="10"/>
  <c r="D21" i="10"/>
  <c r="D22" i="10"/>
  <c r="D27" i="10"/>
  <c r="D17" i="10"/>
  <c r="D24" i="10"/>
  <c r="D10" i="10"/>
  <c r="D26" i="10"/>
  <c r="D16" i="10"/>
  <c r="D20" i="10"/>
  <c r="D15" i="10"/>
  <c r="D25" i="10"/>
  <c r="D33" i="13"/>
  <c r="D36" i="13" s="1"/>
  <c r="F664" i="1"/>
  <c r="I660" i="1"/>
  <c r="I664" i="1" s="1"/>
  <c r="I672" i="1" s="1"/>
  <c r="C7" i="10" s="1"/>
  <c r="C41" i="10"/>
  <c r="D38" i="10" s="1"/>
  <c r="J470" i="1" l="1"/>
  <c r="J476" i="1" s="1"/>
  <c r="H626" i="1" s="1"/>
  <c r="H637" i="1"/>
  <c r="J637" i="1" s="1"/>
  <c r="G47" i="2"/>
  <c r="G50" i="2" s="1"/>
  <c r="G51" i="2" s="1"/>
  <c r="J51" i="1"/>
  <c r="F474" i="1"/>
  <c r="F476" i="1" s="1"/>
  <c r="H622" i="1" s="1"/>
  <c r="J622" i="1" s="1"/>
  <c r="H632" i="1"/>
  <c r="J632" i="1" s="1"/>
  <c r="G470" i="1"/>
  <c r="G476" i="1" s="1"/>
  <c r="H623" i="1" s="1"/>
  <c r="J623" i="1" s="1"/>
  <c r="H628" i="1"/>
  <c r="J628" i="1"/>
  <c r="H633" i="1"/>
  <c r="J633" i="1" s="1"/>
  <c r="H474" i="1"/>
  <c r="H476" i="1" s="1"/>
  <c r="H624" i="1" s="1"/>
  <c r="D28" i="10"/>
  <c r="I667" i="1"/>
  <c r="F672" i="1"/>
  <c r="C4" i="10" s="1"/>
  <c r="F667" i="1"/>
  <c r="D37" i="10"/>
  <c r="D36" i="10"/>
  <c r="D35" i="10"/>
  <c r="D40" i="10"/>
  <c r="D39" i="10"/>
  <c r="G626" i="1" l="1"/>
  <c r="J626" i="1" s="1"/>
  <c r="J52" i="1"/>
  <c r="H621" i="1" s="1"/>
  <c r="J621" i="1" s="1"/>
  <c r="J624" i="1"/>
  <c r="D41" i="10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<sst xmlns="http://schemas.openxmlformats.org/spreadsheetml/2006/main" count="3958" uniqueCount="916">
  <si>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</si>
  <si>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</si>
  <si>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</si>
  <si>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</si>
  <si>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</si>
  <si>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</si>
  <si>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</si>
  <si>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</si>
  <si>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</si>
  <si>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</si>
  <si>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</si>
  <si>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</si>
  <si>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</si>
  <si>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</si>
  <si>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</si>
  <si>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</si>
  <si>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</si>
  <si>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</si>
  <si>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</si>
  <si>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</si>
  <si>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</si>
  <si>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</si>
  <si>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</si>
  <si>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</si>
  <si>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</si>
  <si>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</si>
  <si>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</si>
  <si>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</si>
  <si>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</si>
  <si>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</si>
  <si>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</si>
  <si>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</si>
  <si>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</si>
  <si>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</si>
  <si>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</si>
  <si>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</si>
  <si>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</si>
  <si>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</si>
  <si>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</si>
  <si>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</si>
  <si>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</si>
  <si>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</si>
  <si>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</si>
  <si>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</si>
  <si>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</si>
  <si>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</si>
  <si>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</si>
  <si>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</si>
  <si>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</si>
  <si>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</si>
  <si>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</si>
  <si>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</si>
  <si>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</si>
  <si>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</si>
  <si>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</si>
  <si>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</si>
  <si>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</si>
  <si>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</si>
  <si>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</si>
  <si>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</si>
  <si>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</si>
  <si>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</si>
  <si>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</si>
  <si>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</si>
  <si>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</si>
  <si>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</si>
  <si>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</si>
  <si>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</si>
  <si>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</si>
  <si>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</si>
  <si>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</si>
  <si>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</si>
  <si>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</si>
  <si>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</si>
  <si>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</si>
  <si>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</si>
  <si>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</si>
  <si>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</si>
  <si>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</si>
  <si>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</si>
  <si>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</si>
  <si>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</si>
  <si>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</si>
  <si>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</si>
  <si>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</si>
  <si>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</si>
  <si>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</si>
  <si>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</si>
  <si>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</si>
  <si>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</si>
  <si>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</si>
  <si>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</si>
  <si>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</si>
  <si>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</si>
  <si>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</si>
  <si>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</si>
  <si>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</si>
  <si>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</si>
  <si>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</si>
  <si>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</si>
  <si>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</si>
  <si>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</si>
  <si>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</si>
  <si>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</si>
  <si>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</si>
  <si>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</si>
  <si>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</si>
  <si>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</si>
  <si>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</si>
  <si>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</si>
  <si>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</si>
  <si>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</si>
  <si>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</si>
  <si>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</si>
  <si>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</si>
  <si>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</si>
  <si>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</si>
  <si>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</si>
  <si>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</si>
  <si>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</si>
  <si>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</si>
  <si>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</si>
  <si>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</si>
  <si>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</si>
  <si>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</si>
  <si>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</si>
  <si>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</si>
  <si>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</si>
  <si>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</si>
  <si>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</si>
  <si>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</si>
  <si>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</si>
  <si>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</si>
  <si>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</si>
  <si>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</si>
  <si>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</si>
  <si>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</si>
  <si>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</si>
  <si>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</si>
  <si>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</si>
  <si>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</si>
  <si>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</si>
  <si>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</si>
  <si>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</si>
  <si>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</si>
  <si>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</si>
  <si>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</si>
  <si>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</si>
  <si>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</si>
  <si>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</si>
  <si>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</si>
  <si>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</si>
  <si>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</si>
  <si>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</si>
  <si>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</si>
  <si>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</si>
  <si>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</si>
  <si>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</si>
  <si>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</si>
  <si>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</si>
  <si>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</si>
  <si>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</si>
  <si>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</si>
  <si>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</si>
  <si>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</si>
  <si>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</si>
  <si>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</si>
  <si>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</si>
  <si>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</si>
  <si>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</si>
  <si>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</si>
  <si>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</si>
  <si>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</si>
  <si>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</si>
  <si>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</si>
  <si>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</si>
  <si>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</si>
  <si>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</si>
  <si>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</si>
  <si>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</si>
  <si>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</si>
  <si>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</si>
  <si>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</si>
  <si>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</si>
  <si>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</si>
  <si>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</si>
  <si>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</si>
  <si>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</si>
  <si>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</si>
  <si>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</si>
  <si>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</si>
  <si>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</si>
  <si>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</si>
  <si>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</si>
  <si>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</si>
  <si>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</si>
  <si>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</si>
  <si>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</si>
  <si>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</si>
  <si>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</si>
  <si>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</si>
  <si>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</si>
  <si>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</si>
  <si>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</si>
  <si>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</si>
  <si>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</si>
  <si>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</si>
  <si>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</si>
  <si>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</si>
  <si>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</si>
  <si>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</si>
  <si>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</si>
  <si>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</si>
  <si>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</si>
  <si>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</si>
  <si>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</si>
  <si>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</si>
  <si>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</si>
  <si>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</si>
  <si>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</si>
  <si>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</si>
  <si>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</si>
  <si>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</si>
  <si>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</si>
  <si>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</si>
  <si>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</si>
  <si>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</si>
  <si>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</si>
  <si>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</si>
  <si>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</si>
  <si>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</si>
  <si>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</si>
  <si>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</si>
  <si>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</si>
  <si>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</si>
  <si>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</si>
  <si>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</si>
  <si>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</si>
  <si>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</si>
  <si>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</si>
  <si>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</si>
  <si>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</si>
  <si>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</si>
  <si>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</si>
  <si>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</si>
  <si>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</si>
  <si>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</si>
  <si>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</si>
  <si>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</si>
  <si>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</si>
  <si>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</si>
  <si>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</si>
  <si>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</si>
  <si>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</si>
  <si>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</si>
  <si>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</si>
  <si>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</si>
  <si>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</si>
  <si>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</si>
  <si>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</si>
  <si>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</si>
  <si>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</si>
  <si>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</si>
  <si>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</si>
  <si>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</si>
  <si>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</si>
  <si>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</si>
  <si>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</si>
  <si>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</si>
  <si>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</si>
  <si>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</si>
  <si>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</si>
  <si>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</si>
  <si>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</si>
  <si>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</si>
  <si>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</si>
  <si>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</si>
  <si>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</si>
  <si>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</si>
  <si>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</si>
  <si>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</si>
  <si>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</si>
  <si>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</si>
  <si>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</si>
  <si>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</si>
  <si>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</si>
  <si>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</si>
  <si>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</si>
  <si>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</si>
  <si>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</si>
  <si>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</si>
  <si>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</si>
  <si>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</si>
  <si>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</si>
  <si>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</si>
  <si>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</si>
  <si>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</si>
  <si>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</si>
  <si>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</si>
  <si>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</si>
  <si>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</si>
  <si>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</si>
  <si>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</si>
  <si>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</si>
  <si>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</si>
  <si>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</si>
  <si>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</si>
  <si>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</si>
  <si>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</si>
  <si>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</si>
  <si>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</si>
  <si>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</si>
  <si>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</si>
  <si>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</si>
  <si>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</si>
  <si>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</si>
  <si>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</si>
  <si>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</si>
  <si>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</si>
  <si>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</si>
  <si>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</si>
  <si>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</si>
  <si>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</si>
  <si>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</si>
  <si>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</si>
  <si>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</si>
  <si>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</si>
  <si>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</si>
  <si>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</si>
  <si>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</si>
  <si>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</si>
  <si>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</si>
  <si>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</si>
  <si>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</si>
  <si>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</si>
  <si>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</si>
  <si>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</si>
  <si>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</si>
  <si>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</si>
  <si>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</si>
  <si>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</si>
  <si>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</si>
  <si>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</si>
  <si>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</si>
  <si>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</si>
  <si>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</si>
  <si>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</si>
  <si>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</si>
  <si>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</si>
  <si>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</si>
  <si>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</si>
  <si>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</si>
  <si>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</si>
  <si>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</si>
  <si>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</si>
  <si>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</si>
  <si>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</si>
  <si>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</si>
  <si>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</si>
  <si>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</si>
  <si>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</si>
  <si>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</si>
  <si>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</si>
  <si>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</si>
  <si>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</si>
  <si>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</si>
  <si>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</si>
  <si>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</si>
  <si>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</si>
  <si>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</si>
  <si>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</si>
  <si>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</si>
  <si>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</si>
  <si>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</si>
  <si>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</si>
  <si>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</si>
  <si>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</si>
  <si>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</si>
  <si>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</si>
  <si>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</si>
  <si>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</si>
  <si>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</si>
  <si>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</si>
  <si>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</si>
  <si>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</si>
  <si>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</si>
  <si>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</si>
  <si>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</si>
  <si>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</si>
  <si>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</si>
  <si>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</si>
  <si>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</si>
  <si>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</si>
  <si>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</si>
  <si>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</si>
  <si>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</si>
  <si>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</si>
  <si>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</si>
  <si>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</si>
  <si>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</si>
  <si>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</si>
  <si>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</si>
  <si>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</si>
  <si>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</si>
  <si>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</si>
  <si>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</si>
  <si>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</si>
  <si>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</si>
  <si>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</si>
  <si>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</si>
  <si>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</si>
  <si>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</si>
  <si>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</si>
  <si>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</si>
  <si>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</si>
  <si>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</si>
  <si>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</si>
  <si>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</si>
  <si>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</si>
  <si>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</si>
  <si>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</si>
  <si>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</si>
  <si>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</si>
  <si>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</si>
  <si>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</si>
  <si>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</si>
  <si>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</si>
  <si>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</si>
  <si>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</si>
  <si>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</si>
  <si>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</si>
  <si>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</si>
  <si>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</si>
  <si>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</si>
  <si>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</si>
  <si>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</si>
  <si>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</si>
  <si>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</si>
  <si>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</si>
  <si>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</si>
  <si>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</si>
  <si>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</si>
  <si>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</si>
  <si>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</si>
  <si>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</si>
  <si>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</si>
  <si>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</si>
  <si>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</si>
  <si>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</si>
  <si>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</si>
  <si>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</si>
  <si>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</si>
  <si>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</si>
  <si>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</si>
  <si>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</si>
  <si>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</si>
  <si>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</si>
  <si>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</si>
  <si>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</si>
  <si>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</si>
  <si>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</si>
  <si>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</si>
  <si>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</si>
  <si>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</si>
  <si>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</si>
  <si>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</si>
  <si>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</si>
  <si>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</si>
  <si>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</si>
  <si>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</si>
  <si>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</si>
  <si>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</si>
  <si>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</si>
  <si>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</si>
  <si>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</si>
  <si>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</si>
  <si>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</si>
  <si>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</si>
  <si>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</si>
  <si>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</si>
  <si>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</si>
  <si>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</si>
  <si>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</si>
  <si>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</si>
  <si>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</si>
  <si>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</si>
  <si>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</si>
  <si>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</si>
  <si>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</si>
  <si>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</si>
  <si>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</si>
  <si>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</si>
  <si>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</si>
  <si>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</si>
  <si>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</si>
  <si>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</si>
  <si>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</si>
  <si>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</si>
  <si>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</si>
  <si>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</si>
  <si>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</si>
  <si>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</si>
  <si>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</si>
  <si>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</si>
  <si>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</si>
  <si>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</si>
  <si>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</si>
  <si>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</si>
  <si>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</si>
  <si>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</si>
  <si>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</si>
  <si>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</si>
  <si>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</si>
  <si>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</si>
  <si>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</si>
  <si>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</si>
  <si>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</si>
  <si>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</si>
  <si>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</si>
  <si>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</si>
  <si>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</si>
  <si>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</si>
  <si>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</si>
  <si>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</si>
  <si>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</si>
  <si>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</si>
  <si>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</si>
  <si>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</si>
  <si>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</si>
  <si>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</si>
  <si>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</si>
  <si>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</si>
  <si>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</si>
  <si>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</si>
  <si>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</si>
  <si>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</si>
  <si>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</si>
  <si>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</si>
  <si>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</si>
  <si>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</si>
  <si>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</si>
  <si>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</si>
  <si>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</si>
  <si>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</si>
  <si>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</si>
  <si>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</si>
  <si>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</si>
  <si>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</si>
  <si>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</si>
  <si>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</si>
  <si>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</si>
  <si>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</si>
  <si>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</si>
  <si>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</si>
  <si>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</si>
  <si>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</si>
  <si>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</si>
  <si>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</si>
  <si>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</si>
  <si>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</si>
  <si>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</si>
  <si>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</si>
  <si>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</si>
  <si>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</si>
  <si>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</si>
  <si>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</si>
  <si>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</si>
  <si>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</si>
  <si>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</si>
  <si>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</si>
  <si>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</si>
  <si>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</si>
  <si>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</si>
  <si>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</si>
  <si>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</si>
  <si>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</si>
  <si>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</si>
  <si>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</si>
  <si>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</si>
  <si>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</si>
  <si>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</si>
  <si>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</si>
  <si>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</si>
  <si>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</si>
  <si>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</si>
  <si>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</si>
  <si>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</si>
  <si>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</si>
  <si>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</si>
  <si>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</si>
  <si>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</si>
  <si>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</si>
  <si>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</si>
  <si>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</si>
  <si>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</si>
  <si>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</si>
  <si>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</si>
  <si>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</si>
  <si>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</si>
  <si>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</si>
  <si>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</si>
  <si>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</si>
  <si>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</si>
  <si>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</si>
  <si>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</si>
  <si>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</si>
  <si>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</si>
  <si>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</si>
  <si>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</si>
  <si>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</si>
  <si>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</si>
  <si>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</si>
  <si>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</si>
  <si>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</si>
  <si>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</si>
  <si>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</si>
  <si>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</si>
  <si>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</si>
  <si>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</si>
  <si>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</si>
  <si>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</si>
  <si>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</si>
  <si>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</si>
  <si>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</si>
  <si>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</si>
  <si>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</si>
  <si>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</si>
  <si>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</si>
  <si>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</si>
  <si>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</si>
  <si>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</si>
  <si>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</si>
  <si>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</si>
  <si>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</si>
  <si>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</si>
  <si>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</si>
  <si>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</si>
  <si>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</si>
  <si>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</si>
  <si>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</si>
  <si>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</si>
  <si>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</si>
  <si>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</si>
  <si>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</si>
  <si>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</si>
  <si>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</si>
  <si>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</si>
  <si>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</si>
  <si>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</si>
  <si>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</si>
  <si>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</si>
  <si>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</si>
  <si>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</si>
  <si>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</si>
  <si>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</si>
  <si>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</si>
  <si>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</si>
  <si>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</si>
  <si>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</si>
  <si>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</si>
  <si>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</si>
  <si>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</si>
  <si>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</si>
  <si>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</si>
  <si>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</si>
  <si>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</si>
  <si>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</si>
  <si>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</si>
  <si>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</si>
  <si>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</si>
  <si>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</si>
  <si>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</si>
  <si>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</si>
  <si>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</si>
  <si>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</si>
  <si>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</si>
  <si>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</si>
  <si>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</si>
  <si>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</si>
  <si>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</si>
  <si>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</si>
  <si>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</si>
  <si>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</si>
  <si>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</si>
  <si>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</si>
  <si>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</si>
  <si>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</si>
  <si>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</si>
  <si>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</si>
  <si>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</si>
  <si>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</si>
  <si>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</si>
  <si>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</si>
  <si>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</si>
  <si>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</si>
  <si>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</si>
  <si>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</si>
  <si>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</si>
  <si>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</si>
  <si>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</si>
  <si>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</si>
  <si>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</si>
  <si>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</si>
  <si>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</si>
  <si>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</si>
  <si>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</si>
  <si>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</si>
  <si>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</si>
  <si>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</si>
  <si>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</si>
  <si>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</si>
  <si>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</si>
  <si>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</si>
  <si>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</si>
  <si>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</si>
  <si>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</si>
  <si>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</si>
  <si>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</si>
  <si>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</si>
  <si>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</si>
  <si>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</si>
  <si>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</si>
  <si>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</si>
  <si>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</si>
  <si>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</si>
  <si>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</si>
  <si>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</si>
  <si>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</si>
  <si>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</si>
  <si>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</si>
  <si>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</si>
  <si>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</si>
  <si>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</si>
  <si>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</si>
  <si>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</si>
  <si>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</si>
  <si>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</si>
  <si>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</si>
  <si>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</si>
  <si>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</si>
  <si>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</si>
  <si>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</si>
  <si>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</si>
  <si>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</si>
  <si>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</si>
  <si>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</si>
  <si>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</si>
  <si>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</si>
  <si>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</si>
  <si>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</si>
  <si>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</si>
  <si>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</si>
  <si>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</si>
  <si>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</si>
  <si>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</si>
  <si>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</si>
  <si>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</si>
  <si>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</si>
  <si>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</si>
  <si>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</si>
  <si>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</si>
  <si>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</si>
  <si>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</si>
  <si>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</si>
  <si>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</si>
  <si>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</si>
  <si>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</si>
  <si>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</si>
  <si>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</si>
  <si>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</si>
  <si>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</si>
  <si>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</si>
  <si>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</si>
  <si>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</si>
  <si>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</si>
  <si>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</si>
  <si>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</si>
  <si>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</si>
  <si>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</si>
  <si>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</si>
  <si>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</si>
  <si>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</si>
  <si>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</si>
  <si>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</si>
  <si>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</si>
  <si>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</si>
  <si>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</si>
  <si>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</si>
  <si>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</si>
  <si>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</si>
  <si>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</si>
  <si>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</si>
  <si>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</si>
  <si>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</si>
  <si>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</si>
  <si>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</si>
  <si>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</si>
  <si>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</si>
  <si>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</si>
  <si>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</si>
  <si>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</si>
  <si>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</si>
  <si>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</si>
  <si>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</si>
  <si>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</si>
  <si>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</si>
  <si>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</si>
  <si>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</si>
  <si>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</si>
  <si>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</si>
  <si>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</si>
  <si>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</si>
  <si>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</si>
  <si>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</si>
  <si>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</si>
  <si>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</si>
  <si>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</si>
  <si>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</si>
  <si>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</si>
  <si>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</si>
  <si>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</si>
  <si>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</si>
  <si>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</si>
  <si>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</si>
  <si>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</si>
  <si>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</si>
  <si>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</si>
  <si>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</si>
  <si>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</si>
  <si>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</si>
  <si>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</si>
  <si>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</si>
  <si>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</si>
  <si>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</si>
  <si>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</si>
  <si>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</si>
  <si>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</si>
  <si>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</si>
  <si>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</si>
  <si>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</si>
  <si>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</si>
  <si>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</si>
  <si>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</si>
  <si>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</si>
  <si>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</si>
  <si>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</si>
  <si>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</si>
  <si>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</si>
  <si>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</si>
  <si>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</si>
  <si>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</si>
  <si>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</si>
  <si>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</si>
  <si>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</si>
  <si>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</si>
  <si>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</si>
  <si>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</si>
  <si>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</si>
  <si>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</si>
  <si>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</si>
  <si>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</si>
  <si>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</si>
  <si>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</si>
  <si>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</si>
  <si>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</si>
  <si>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</si>
  <si>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</si>
  <si>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</si>
  <si>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</si>
  <si>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</si>
  <si>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</si>
  <si>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</si>
  <si>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</si>
  <si>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</si>
  <si>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</si>
  <si>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</si>
  <si>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</si>
  <si>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</si>
  <si>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</si>
  <si>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</si>
  <si>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</si>
  <si>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</si>
  <si>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</si>
  <si>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</si>
  <si>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</si>
  <si>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</si>
  <si>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</si>
  <si>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</si>
  <si>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</si>
  <si>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</si>
  <si>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</si>
  <si>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</si>
  <si>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</si>
  <si>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</si>
  <si>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</si>
  <si>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</si>
  <si>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</si>
  <si>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</si>
  <si>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</si>
  <si>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</si>
  <si>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</si>
  <si>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</si>
  <si>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</si>
  <si>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</si>
  <si>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</si>
  <si>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</si>
  <si>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</si>
  <si>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</si>
  <si>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</si>
  <si>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</si>
  <si>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</si>
  <si>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.</t>
  </si>
  <si>
    <t>2013</t>
  </si>
  <si>
    <t>02/2023</t>
  </si>
  <si>
    <t>LGC Refund is listed under Other Local Revenue</t>
  </si>
  <si>
    <t>ConVall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</si>
</sst>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112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1691581.58+6940</f>
        <v>1698521.58</v>
      </c>
      <c r="G9" s="18">
        <f>12977.62+3900+1586.1</f>
        <v>18463.72</v>
      </c>
      <c r="H9" s="18"/>
      <c r="I9" s="18">
        <v>102.12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5811.82</f>
        <v>5811.82</v>
      </c>
      <c r="G10" s="18"/>
      <c r="H10" s="18"/>
      <c r="I10" s="18"/>
      <c r="J10" s="67">
        <f>SUM(I440)</f>
        <v>982978.69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425753.63</f>
        <v>425753.63</v>
      </c>
      <c r="G12" s="18"/>
      <c r="H12" s="18"/>
      <c r="I12" s="18">
        <v>8068.2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32127.1</v>
      </c>
      <c r="H13" s="18">
        <f>220710.71</f>
        <v>220710.71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98183.86</v>
      </c>
      <c r="G14" s="18">
        <v>19426.55</v>
      </c>
      <c r="H14" s="18" t="s">
        <v>911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30993.87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27643.82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2255914.71</v>
      </c>
      <c r="G19" s="41">
        <f>SUM(G9:G18)</f>
        <v>101011.23999999999</v>
      </c>
      <c r="H19" s="41">
        <f>SUM(H9:H18)</f>
        <v>220710.71</v>
      </c>
      <c r="I19" s="41">
        <f>SUM(I9:I18)</f>
        <v>8170.32</v>
      </c>
      <c r="J19" s="41">
        <f>SUM(J9:J18)</f>
        <v>982978.69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49021.5+8163.59+707.55+35150.66+82519.85+23691.6-74.44+1293+174534.39+11790.24+1017.36+1680+2534.72-341.34+4574.39+2933.18+6047.19+7127.64</f>
        <v>412371.08</v>
      </c>
      <c r="G22" s="18">
        <v>204312.8</v>
      </c>
      <c r="H22" s="18">
        <f>220511.45+549.88-350.62</f>
        <v>220710.71000000002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48044.61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10329.1+3549.35+50003.2+84944.59+47711.78+12387.1</f>
        <v>208925.12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669340.81000000006</v>
      </c>
      <c r="G32" s="41">
        <f>SUM(G22:G31)</f>
        <v>204312.8</v>
      </c>
      <c r="H32" s="41">
        <f>SUM(H22:H31)</f>
        <v>220710.71000000002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f>G16</f>
        <v>30993.87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f>F17</f>
        <v>27643.82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-134295.43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f>100000+150000+50000</f>
        <v>300000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982978.69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287651.18+150000+139710</f>
        <v>577361.17999999993</v>
      </c>
      <c r="G49" s="18"/>
      <c r="H49" s="18">
        <f>H19-H22</f>
        <v>0</v>
      </c>
      <c r="I49" s="18">
        <f>I19-I32</f>
        <v>8170.32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F19-F32-F36-F44-F48-F49</f>
        <v>681568.89999999991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1586573.9</v>
      </c>
      <c r="G51" s="41">
        <f>SUM(G35:G50)</f>
        <v>-103301.56</v>
      </c>
      <c r="H51" s="41">
        <f>SUM(H35:H50)</f>
        <v>0</v>
      </c>
      <c r="I51" s="41">
        <f>SUM(I35:I50)</f>
        <v>8170.32</v>
      </c>
      <c r="J51" s="41">
        <f>SUM(J35:J50)</f>
        <v>982978.69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2255914.71</v>
      </c>
      <c r="G52" s="41">
        <f>G51+G32</f>
        <v>101011.23999999999</v>
      </c>
      <c r="H52" s="41">
        <f>H51+H32</f>
        <v>220710.71000000002</v>
      </c>
      <c r="I52" s="41">
        <f>I51+I32</f>
        <v>8170.32</v>
      </c>
      <c r="J52" s="41">
        <f>J51+J32</f>
        <v>982978.69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28275636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28275636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54887.81+10410.6</f>
        <v>65298.409999999996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79199.259999999995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16888.54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161386.21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4607.55</v>
      </c>
      <c r="G96" s="18">
        <v>78.819999999999993</v>
      </c>
      <c r="H96" s="18"/>
      <c r="I96" s="18">
        <v>18.649999999999999</v>
      </c>
      <c r="J96" s="18">
        <v>65.56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521877.98</f>
        <v>521877.98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38765.599999999999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>
        <f>20358.09+1335.72</f>
        <v>21693.81</v>
      </c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231908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>
        <v>252.91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275281.15000000002</v>
      </c>
      <c r="G111" s="41">
        <f>SUM(G96:G110)</f>
        <v>543903.52</v>
      </c>
      <c r="H111" s="41">
        <f>SUM(H96:H110)</f>
        <v>0</v>
      </c>
      <c r="I111" s="41">
        <f>SUM(I96:I110)</f>
        <v>18.649999999999999</v>
      </c>
      <c r="J111" s="41">
        <f>SUM(J96:J110)</f>
        <v>65.56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28712303.359999999</v>
      </c>
      <c r="G112" s="41">
        <f>G60+G111</f>
        <v>543903.52</v>
      </c>
      <c r="H112" s="41">
        <f>H60+H79+H94+H111</f>
        <v>0</v>
      </c>
      <c r="I112" s="41">
        <f>I60+I111</f>
        <v>18.649999999999999</v>
      </c>
      <c r="J112" s="41">
        <f>J60+J111</f>
        <v>65.56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7815931.7199999997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4829305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12645236.719999999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558186.76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528345.75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94152.45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1529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11418.35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1182213.96</v>
      </c>
      <c r="G136" s="41">
        <f>SUM(G123:G135)</f>
        <v>11418.35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13827450.68</v>
      </c>
      <c r="G140" s="41">
        <f>G121+SUM(G136:G137)</f>
        <v>11418.35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86694.92+451135.73</f>
        <v>537830.65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f>264.87+72302.96</f>
        <v>72567.83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f>2670.42+11220</f>
        <v>13890.42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373694.17+44372.11+23006.36</f>
        <v>441072.63999999996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226.27+440927.69</f>
        <v>441153.96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f>417354.18+1909.03</f>
        <v>419263.21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f>157420.46+122.58</f>
        <v>157543.03999999998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419263.21</v>
      </c>
      <c r="G162" s="41">
        <f>SUM(G150:G161)</f>
        <v>441072.63999999996</v>
      </c>
      <c r="H162" s="41">
        <f>SUM(H150:H161)</f>
        <v>1222985.9000000001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419263.21</v>
      </c>
      <c r="G169" s="41">
        <f>G147+G162+SUM(G163:G168)</f>
        <v>441072.63999999996</v>
      </c>
      <c r="H169" s="41">
        <f>H147+H162+SUM(H163:H168)</f>
        <v>1222985.9000000001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326850.28+35059.84</f>
        <v>361910.12</v>
      </c>
      <c r="H179" s="18"/>
      <c r="I179" s="18"/>
      <c r="J179" s="18">
        <f>K266</f>
        <v>250000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361910.12</v>
      </c>
      <c r="H183" s="41">
        <f>SUM(H179:H182)</f>
        <v>0</v>
      </c>
      <c r="I183" s="41">
        <f>SUM(I179:I182)</f>
        <v>0</v>
      </c>
      <c r="J183" s="41">
        <f>SUM(J179:J182)</f>
        <v>250000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361910.12</v>
      </c>
      <c r="H192" s="41">
        <f>+H183+SUM(H188:H191)</f>
        <v>0</v>
      </c>
      <c r="I192" s="41">
        <f>I177+I183+SUM(I188:I191)</f>
        <v>0</v>
      </c>
      <c r="J192" s="41">
        <f>J183</f>
        <v>250000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42959017.25</v>
      </c>
      <c r="G193" s="47">
        <f>G112+G140+G169+G192</f>
        <v>1358304.63</v>
      </c>
      <c r="H193" s="47">
        <f>H112+H140+H169+H192</f>
        <v>1222985.9000000001</v>
      </c>
      <c r="I193" s="47">
        <f>I112+I140+I169+I192</f>
        <v>18.649999999999999</v>
      </c>
      <c r="J193" s="47">
        <f>J112+J140+J192</f>
        <v>250065.56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239081.64+488391.93+225832.5+212130.34+250286.16+234172.5+282646.6+980722.01+201234.58+0.35*697122.64+43620.14</f>
        <v>3402111.324</v>
      </c>
      <c r="G197" s="18">
        <f>860053.04+(0.0765*F197)+0.35*56489+611.79+7427.88+18488.4+13695.15+409.71+18488.4+18488.4+(0.1416*F197)+236043.25+216374-65818.49</f>
        <v>2086033.1597643995</v>
      </c>
      <c r="H197" s="18">
        <f>8489.34+48524.76+1573.96+1642.06+0.35*(21625+3796.56)</f>
        <v>69127.665999999997</v>
      </c>
      <c r="I197" s="18">
        <f>2101.36+26469.75+8952.91+9371.43+8169.61+12189.76+11361.32+51691.27+11730.43</f>
        <v>142037.84</v>
      </c>
      <c r="J197" s="18">
        <f>331.95+15000.38+1100.4+11596.54+54743.68</f>
        <v>82772.95</v>
      </c>
      <c r="K197" s="18">
        <f>300</f>
        <v>300</v>
      </c>
      <c r="L197" s="19">
        <f>SUM(F197:K197)</f>
        <v>5782382.9397644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637591.83+426883.88+152775.57+156911.91+64861+66068.99+94324.99+50861.18+225182.74+192967.35+60522</f>
        <v>2128951.44</v>
      </c>
      <c r="G198" s="18">
        <f>390933.56+(0.0765*F198)+(326.08*21)+(21*880.4)+(21*652.15)+18970.56+564.69+137.81+18488.4+13695.15+13695.15+18488.4+6162.8+4565.05+18488.4+(0.1416*F198)+118021.63</f>
        <v>1125567.1390640005</v>
      </c>
      <c r="H198" s="18">
        <f>41389.2+41389.2+23913.76+22883.5+720+79.99+500</f>
        <v>130875.65</v>
      </c>
      <c r="I198" s="18">
        <f>0.35*49504.63+7760.2+229.43+138.75+2215.04+1688.72</f>
        <v>29358.7605</v>
      </c>
      <c r="J198" s="18">
        <f>4320.74+628+996.25</f>
        <v>5944.99</v>
      </c>
      <c r="K198" s="18">
        <f>0.35*5315</f>
        <v>1860.2499999999998</v>
      </c>
      <c r="L198" s="19">
        <f>SUM(F198:K198)</f>
        <v>3422558.2295640004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614.99</f>
        <v>614.99</v>
      </c>
      <c r="G200" s="18"/>
      <c r="H200" s="18">
        <f>1310.85</f>
        <v>1310.85</v>
      </c>
      <c r="I200" s="18">
        <f>2044.08</f>
        <v>2044.08</v>
      </c>
      <c r="J200" s="18"/>
      <c r="K200" s="18"/>
      <c r="L200" s="19">
        <f>SUM(F200:K200)</f>
        <v>3969.92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152775.57+119180.5+156320.09+92903.49+51988.72+33306+49508.46</f>
        <v>655982.82999999996</v>
      </c>
      <c r="G202" s="18">
        <f>46433+0.35*30083.04+(0.0765*F2020)+10027.68+6499.5+17552.64+18488.4+18488.4+6847.68+18488.4+(0.1416*F202)</f>
        <v>246241.93272799999</v>
      </c>
      <c r="H202" s="18">
        <f>691.86+2829.06+0.35*26687.5+0.35*109156.42</f>
        <v>51066.291999999994</v>
      </c>
      <c r="I202" s="18">
        <f>3140.22+5503.56+741.18+335.31+200+757.14+743.86+69.21+146.89+146.08+841.1+1602.46</f>
        <v>14227.009999999998</v>
      </c>
      <c r="J202" s="18">
        <f>483+0.35*12082.82</f>
        <v>4711.9870000000001</v>
      </c>
      <c r="K202" s="18"/>
      <c r="L202" s="19">
        <f t="shared" ref="L202:L208" si="0">SUM(F202:K202)</f>
        <v>972230.05172799993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60398.5+39002.45+64861</f>
        <v>164261.95000000001</v>
      </c>
      <c r="G203" s="18">
        <f>49987.2+0.35*18488.4+(0.0765*F203)+(0.1416*F203)</f>
        <v>92283.671295000007</v>
      </c>
      <c r="H203" s="18">
        <f>400+9071.4+355.38+0.35*62842.26+0.35*144872.52+1428.21</f>
        <v>83955.163</v>
      </c>
      <c r="I203" s="18">
        <f>0.35*152236.01+352.25+2878.87+1931.85+982.7+1501.72+1474.65+1491.11+7112.84+714.11</f>
        <v>71722.703500000003</v>
      </c>
      <c r="J203" s="18">
        <f>581.25+4830.3</f>
        <v>5411.55</v>
      </c>
      <c r="K203" s="18"/>
      <c r="L203" s="19">
        <f t="shared" si="0"/>
        <v>417635.03779500001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0.35*2500+0.35*1039949.28</f>
        <v>364857.24799999996</v>
      </c>
      <c r="G204" s="18">
        <f>0.0765*F204+0.35*210735.66+(0.1077*F204)</f>
        <v>140964.1860816</v>
      </c>
      <c r="H204" s="18">
        <f>0.35*208744.52+0.35*20196.01</f>
        <v>80129.185499999992</v>
      </c>
      <c r="I204" s="18">
        <f>0.35*89495.47+0.35*47559.35</f>
        <v>47969.186999999998</v>
      </c>
      <c r="J204" s="18"/>
      <c r="K204" s="18">
        <f>0.35*6154.15+0.35*16859.64</f>
        <v>8054.8264999999992</v>
      </c>
      <c r="L204" s="19">
        <f t="shared" si="0"/>
        <v>641974.63308159995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80353.98+73147.15+71658.13+98553.68+34159.99+34415.65+33453.29+156575.92+112620.94-203</f>
        <v>694735.73</v>
      </c>
      <c r="G205" s="18">
        <f>189259.38+(0.0765*F205)+610.73+(0.1077*F205)+59010.82</f>
        <v>376851.25146600005</v>
      </c>
      <c r="H205" s="18">
        <f>3473.5+34416.57+2492.66+354.6+3644.85</f>
        <v>44382.179999999993</v>
      </c>
      <c r="I205" s="18">
        <f>601.15+45+26.94+1088.21+144.32</f>
        <v>1905.6200000000001</v>
      </c>
      <c r="J205" s="18">
        <f>9634.54+1485.06</f>
        <v>11119.6</v>
      </c>
      <c r="K205" s="18">
        <f>4822.05+2923.82</f>
        <v>7745.8700000000008</v>
      </c>
      <c r="L205" s="19">
        <f t="shared" si="0"/>
        <v>1136740.2514660002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>
        <f>0.35*30132.42</f>
        <v>10546.346999999998</v>
      </c>
      <c r="H206" s="18"/>
      <c r="I206" s="18"/>
      <c r="J206" s="18"/>
      <c r="K206" s="18"/>
      <c r="L206" s="19">
        <f t="shared" si="0"/>
        <v>10546.346999999998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44564.22+1527.92+0.35*406866.38</f>
        <v>188495.37299999996</v>
      </c>
      <c r="G207" s="18">
        <f>12998.79+0.35*55554.93+(0.0765*F207)+(0.1077*F207)</f>
        <v>67163.863206599999</v>
      </c>
      <c r="H207" s="18">
        <f>433562.96+8958.65+12384+36285.81+18847.21+22944.47+23648.87+80302.95+78929+9168.87+0.35*198514.97</f>
        <v>794513.02950000006</v>
      </c>
      <c r="I207" s="18">
        <f>69494.74+35346.67+38003.4+32285.6+30107.12+29423.27+105480.96+31491.87</f>
        <v>371633.63</v>
      </c>
      <c r="J207" s="18">
        <f>13571+3149.2+0.35*111105.88</f>
        <v>55607.258000000002</v>
      </c>
      <c r="K207" s="18"/>
      <c r="L207" s="19">
        <f t="shared" si="0"/>
        <v>1477413.1537066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22543.26+0.36*2017767.74</f>
        <v>748939.64639999997</v>
      </c>
      <c r="I208" s="18">
        <f>0.35*358705.56</f>
        <v>125546.946</v>
      </c>
      <c r="J208" s="18"/>
      <c r="K208" s="18"/>
      <c r="L208" s="19">
        <f t="shared" si="0"/>
        <v>874486.59239999996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7600010.8849999998</v>
      </c>
      <c r="G211" s="41">
        <f t="shared" si="1"/>
        <v>4145651.5506055998</v>
      </c>
      <c r="H211" s="41">
        <f t="shared" si="1"/>
        <v>2004299.6624</v>
      </c>
      <c r="I211" s="41">
        <f t="shared" si="1"/>
        <v>806445.777</v>
      </c>
      <c r="J211" s="41">
        <f t="shared" si="1"/>
        <v>165568.33500000002</v>
      </c>
      <c r="K211" s="41">
        <f t="shared" si="1"/>
        <v>17960.946499999998</v>
      </c>
      <c r="L211" s="41">
        <f t="shared" si="1"/>
        <v>14739937.1565056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1147003.63+1620316.39+0.29*697122.64+43620.14</f>
        <v>3013105.7255999995</v>
      </c>
      <c r="G215" s="18">
        <f>702300.09+(0.0765*F215)+0.35*56489+1565.16+531.09+6499.5+(0.1416*F215)+236043.25+216374-65818.49</f>
        <v>1774424.1087533599</v>
      </c>
      <c r="H215" s="18">
        <f>8168.16+47963.57+0.29*(21625+3796.56)</f>
        <v>63503.982399999994</v>
      </c>
      <c r="I215" s="18">
        <f>34119.35+61562.24</f>
        <v>95681.59</v>
      </c>
      <c r="J215" s="18">
        <f>824.58+46860.94+1300+41767.89+4274.6</f>
        <v>95028.010000000009</v>
      </c>
      <c r="K215" s="18">
        <f>2020.82</f>
        <v>2020.82</v>
      </c>
      <c r="L215" s="19">
        <f>SUM(F215:K215)</f>
        <v>5043764.2367533594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267324.75+489658.64</f>
        <v>756983.39</v>
      </c>
      <c r="G216" s="18">
        <f>274029.35+(0.0765*F216)+13695.15+(880.4*21)+18488.4+6162.8+4565.05+18488.4+13695.15+18488.4+(0.1416*F216)</f>
        <v>551199.17735900008</v>
      </c>
      <c r="H216" s="18">
        <f>99778.82+40179.26+84532.16+8480.76+16627.16+46976.93</f>
        <v>296575.09000000003</v>
      </c>
      <c r="I216" s="18">
        <f>0.29*49504.63+2164.98+615.73</f>
        <v>17137.052699999997</v>
      </c>
      <c r="J216" s="18">
        <f>100</f>
        <v>100</v>
      </c>
      <c r="K216" s="18">
        <f>0.29*5315</f>
        <v>1541.35</v>
      </c>
      <c r="L216" s="19">
        <f>SUM(F216:K216)</f>
        <v>1623536.060059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f>64861+48344+52751+54186</f>
        <v>220142</v>
      </c>
      <c r="G217" s="18">
        <f>(0.0765*F217)+(652.15*21)+13695.15+6847.68+18488.4+(0.1416*F217)</f>
        <v>100739.3502</v>
      </c>
      <c r="H217" s="18">
        <f>782.3+630.28+1753.17+174.91</f>
        <v>3340.66</v>
      </c>
      <c r="I217" s="18">
        <f>4098.81+4652.05+2167.74+2675.91</f>
        <v>13594.51</v>
      </c>
      <c r="J217" s="18">
        <f>725.37+595</f>
        <v>1320.37</v>
      </c>
      <c r="K217" s="18"/>
      <c r="L217" s="19">
        <f>SUM(F217:K217)</f>
        <v>339136.89019999997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102771.32</f>
        <v>102771.32</v>
      </c>
      <c r="G218" s="18">
        <f>(0.0765*F218)+(0.1416*F218)</f>
        <v>22414.424892000003</v>
      </c>
      <c r="H218" s="18">
        <f>15676</f>
        <v>15676</v>
      </c>
      <c r="I218" s="18">
        <f>4263.4+11014.53</f>
        <v>15277.93</v>
      </c>
      <c r="J218" s="18">
        <f>2195</f>
        <v>2195</v>
      </c>
      <c r="K218" s="18">
        <f>7293.33</f>
        <v>7293.33</v>
      </c>
      <c r="L218" s="19">
        <f>SUM(F218:K218)</f>
        <v>165628.004892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36060+71810.11+81001.47+52567.87</f>
        <v>241439.45</v>
      </c>
      <c r="G220" s="18">
        <f>40579.95+32183.55+0.29*30083.04+(0.0765*F220)+13695.15+(0.1416*F220)</f>
        <v>147840.67564500001</v>
      </c>
      <c r="H220" s="18">
        <f>111.94+499.99+0.29*28687.5+0.29*109156.42</f>
        <v>40586.666799999999</v>
      </c>
      <c r="I220" s="18">
        <f>503.76+1511.14+918.48</f>
        <v>2933.38</v>
      </c>
      <c r="J220" s="18">
        <f>1129.99+0.29*12082.82</f>
        <v>4634.0077999999994</v>
      </c>
      <c r="K220" s="18"/>
      <c r="L220" s="19">
        <f t="shared" ref="L220:L226" si="2">SUM(F220:K220)</f>
        <v>437434.18024500005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113093.7+0.29*86436.75+0.29*64194.82+48232.7</f>
        <v>205009.55530000001</v>
      </c>
      <c r="G221" s="18">
        <f>32183.55+0.29*18488.4+(0.0765*F221)+6847.68+(0.1416*F221)</f>
        <v>89105.450010929999</v>
      </c>
      <c r="H221" s="18">
        <f>1000+559+0.29*62842.26+0.29*144872.52</f>
        <v>61796.286199999988</v>
      </c>
      <c r="I221" s="18">
        <f>0.29*152236.01+16699.08+4667.02</f>
        <v>65514.5429</v>
      </c>
      <c r="J221" s="18">
        <f>147.43</f>
        <v>147.43</v>
      </c>
      <c r="K221" s="18">
        <v>842.39</v>
      </c>
      <c r="L221" s="19">
        <f t="shared" si="2"/>
        <v>422415.65441093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0.29*2500+0.29*1039949.28</f>
        <v>302310.29119999998</v>
      </c>
      <c r="G222" s="18">
        <f>0.29*21576+0.36*21576+0.0765*F222+0.29*210730.66+(0.1077*F222)</f>
        <v>130821.84703903999</v>
      </c>
      <c r="H222" s="18">
        <f>0.29*208744.52+0.29*20196.01</f>
        <v>66392.753699999987</v>
      </c>
      <c r="I222" s="18">
        <f>0.29*89495.47+0.29*47559.35</f>
        <v>39745.897799999999</v>
      </c>
      <c r="J222" s="18"/>
      <c r="K222" s="18">
        <f>0.29*6154.15+0.29*16859.67</f>
        <v>6674.0077999999985</v>
      </c>
      <c r="L222" s="19">
        <f t="shared" si="2"/>
        <v>545944.79753903998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138721.04+251467.9+14341.11+244761.13</f>
        <v>649291.17999999993</v>
      </c>
      <c r="G223" s="18">
        <f>104640.48+(0.0765*F223)+(0.1416*F223)+59010.82</f>
        <v>305261.706358</v>
      </c>
      <c r="H223" s="18">
        <f>10991.37+3852.93+2123.63+2229.45</f>
        <v>19197.38</v>
      </c>
      <c r="I223" s="18">
        <f>5380.12+902.48</f>
        <v>6282.6</v>
      </c>
      <c r="J223" s="18">
        <f>1943.17+1149</f>
        <v>3092.17</v>
      </c>
      <c r="K223" s="18">
        <f>12792.44+1821.11</f>
        <v>14613.550000000001</v>
      </c>
      <c r="L223" s="19">
        <f t="shared" si="2"/>
        <v>997738.58635799994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>
        <f>0.29*30132.42</f>
        <v>8738.4017999999996</v>
      </c>
      <c r="H224" s="18"/>
      <c r="I224" s="18"/>
      <c r="J224" s="18"/>
      <c r="K224" s="18"/>
      <c r="L224" s="19">
        <f t="shared" si="2"/>
        <v>8738.4017999999996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160677.73+4761.79+0.29*406866.38</f>
        <v>283430.77020000003</v>
      </c>
      <c r="G225" s="18">
        <f>48095.88+0.29*55554.83+(0.0765*F225)+(0.1077*F225)</f>
        <v>116414.72857084</v>
      </c>
      <c r="H225" s="18">
        <f>175500.58+11700.32+7550.2+800.01+34697.53+18301.38+32771.26+35805.92+32758.25+12250.48+418.5+0.29*198514.97</f>
        <v>420123.77129999996</v>
      </c>
      <c r="I225" s="18">
        <f>116207.63+166342.21</f>
        <v>282549.83999999997</v>
      </c>
      <c r="J225" s="18">
        <f>0.29*111105.88</f>
        <v>32220.7052</v>
      </c>
      <c r="K225" s="18"/>
      <c r="L225" s="19">
        <f t="shared" si="2"/>
        <v>1134739.81527084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26605.05+1784.88+38808.96+0.35*2017767.74</f>
        <v>773417.59899999993</v>
      </c>
      <c r="I226" s="18">
        <f>0.36*358705.56</f>
        <v>129134.00159999999</v>
      </c>
      <c r="J226" s="18"/>
      <c r="K226" s="18"/>
      <c r="L226" s="19">
        <f t="shared" si="2"/>
        <v>902551.60059999989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5774483.6822999995</v>
      </c>
      <c r="G229" s="41">
        <f>SUM(G215:G228)</f>
        <v>3246959.8706281702</v>
      </c>
      <c r="H229" s="41">
        <f>SUM(H215:H228)</f>
        <v>1760610.1893999998</v>
      </c>
      <c r="I229" s="41">
        <f>SUM(I215:I228)</f>
        <v>667851.34499999997</v>
      </c>
      <c r="J229" s="41">
        <f>SUM(J215:J228)</f>
        <v>138737.693</v>
      </c>
      <c r="K229" s="41">
        <f t="shared" si="3"/>
        <v>32985.447800000002</v>
      </c>
      <c r="L229" s="41">
        <f t="shared" si="3"/>
        <v>11621628.228128169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2537096.58+0.36*697122.64+43620.14</f>
        <v>2831680.8704000004</v>
      </c>
      <c r="G233" s="18">
        <f>647656.41+(0.0765*F233)+0.35*56489+12436.83+18488.4+(0.1416*F233)+236043.25+216374-65818.49</f>
        <v>1702541.1478342402</v>
      </c>
      <c r="H233" s="18">
        <f>34429.95+2425+411.67+0.36*(21625+3796.56)</f>
        <v>46418.381599999993</v>
      </c>
      <c r="I233" s="18">
        <f>112557.47</f>
        <v>112557.47</v>
      </c>
      <c r="J233" s="18">
        <f>1496+31296.54+13755.32+17779.24+9434.49</f>
        <v>73761.590000000011</v>
      </c>
      <c r="K233" s="18">
        <f>2716</f>
        <v>2716</v>
      </c>
      <c r="L233" s="19">
        <f>SUM(F233:K233)</f>
        <v>4769675.4598342404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378647.93+141383.78+78792.48+44788+305570.93+456759.58</f>
        <v>1405942.7</v>
      </c>
      <c r="G234" s="18">
        <f>215189.32+(0.0765*F234)+20*880.4+(880.4*21)+6847.68+13695.15+978.24+18488.4+13695.15+6847.68+18488.4+13695.15+13695.15+18488.4+13695.15+13695.15+6162.8+18488.4+4565.05+18488.4+19987.59+18488.4+6847.68+6847.68+18488.4+18488.4+18488.4+13695.15+6847.68+6847.68+18488.4+6847.68+16205.9+13695.15+(0.1416*F234)+118021.63</f>
        <v>1066221.9928700007</v>
      </c>
      <c r="H234" s="18">
        <f>997.64+750+3124.07+3227.48+17514.68+137134.63+34211.54+45488.78+254529.61+103059.74+133330.09+126402.4+26000+134339+48450.58</f>
        <v>1068560.24</v>
      </c>
      <c r="I234" s="18">
        <f>0.35*49504.63+2045.74+5838.48</f>
        <v>25210.840499999998</v>
      </c>
      <c r="J234" s="18">
        <f>4948.74</f>
        <v>4948.74</v>
      </c>
      <c r="K234" s="18">
        <f>0.36*5315</f>
        <v>1913.3999999999999</v>
      </c>
      <c r="L234" s="19">
        <f>SUM(F234:K234)</f>
        <v>3572797.9133700007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f>39944.56+53751+121507.02+48344+48344+63476+56409+60522</f>
        <v>492297.58</v>
      </c>
      <c r="G235" s="18">
        <f>(0.0765*F235)+39301.5+17060.19+18488.4+18488.4+18488.4+18488.4+18488.4+18488.4+(0.1416*F235)</f>
        <v>274662.19219799998</v>
      </c>
      <c r="H235" s="18">
        <f>2140.3+483.62+1050.27+488.41</f>
        <v>4162.6000000000004</v>
      </c>
      <c r="I235" s="18">
        <f>1833.5+4379.39+6520.77+2380+3716.7+1050.27+1212+2694.74+4434.58</f>
        <v>28221.950000000004</v>
      </c>
      <c r="J235" s="18">
        <f>1184.84+4606.59+5924.14+5410</f>
        <v>17125.57</v>
      </c>
      <c r="K235" s="18"/>
      <c r="L235" s="19">
        <f>SUM(F235:K235)</f>
        <v>816469.89219799987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24171.4+81964.35+213950.99</f>
        <v>320086.74</v>
      </c>
      <c r="G236" s="18">
        <f>29216.44+(0.0765*F236)+(0.1416*F236)</f>
        <v>99027.357993999991</v>
      </c>
      <c r="H236" s="18">
        <f>80583.28+11766.31+12417.63</f>
        <v>104767.22</v>
      </c>
      <c r="I236" s="18">
        <f>18647.3</f>
        <v>18647.3</v>
      </c>
      <c r="J236" s="18">
        <f>23007.62+9314.99</f>
        <v>32322.61</v>
      </c>
      <c r="K236" s="18">
        <f>44720.75+21563.7</f>
        <v>66284.45</v>
      </c>
      <c r="L236" s="19">
        <f>SUM(F236:K236)</f>
        <v>641135.67799399991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268100.82+66607.47+82800+31279.65+47172.02+27615.49+0.36*137046.37</f>
        <v>572912.14320000005</v>
      </c>
      <c r="G238" s="18">
        <f>99359.61+20249.2+0.36*30083.04+(0.0765*F238)+17548.44+(0.1416*F238)</f>
        <v>272939.28283192002</v>
      </c>
      <c r="H238" s="18">
        <f>400+7827.01+0.36*28687.5+0.36*109156.42</f>
        <v>57850.821199999998</v>
      </c>
      <c r="I238" s="18">
        <f>10344.84+3084.47</f>
        <v>13429.31</v>
      </c>
      <c r="J238" s="18">
        <f>1339+203.45+0.36*12082.82</f>
        <v>5892.2651999999998</v>
      </c>
      <c r="K238" s="18">
        <f>2069.5</f>
        <v>2069.5</v>
      </c>
      <c r="L238" s="19">
        <f t="shared" ref="L238:L244" si="4">SUM(F238:K238)</f>
        <v>925093.32243192021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50684.83+27549.21+0.36*89436.75+0.36*64194.82</f>
        <v>133541.40520000001</v>
      </c>
      <c r="G239" s="18">
        <f>0.36*18488.4+(0.0765*F239)+6847.68+13695.15+(0.1416*F239)</f>
        <v>56324.03447412001</v>
      </c>
      <c r="H239" s="18">
        <f>2671.19+0.36*62842.26+0.36*144872.52</f>
        <v>77448.510799999989</v>
      </c>
      <c r="I239" s="18">
        <f>0.36*152236.01+29673.15</f>
        <v>84478.113600000012</v>
      </c>
      <c r="J239" s="18">
        <f>938.49</f>
        <v>938.49</v>
      </c>
      <c r="K239" s="18"/>
      <c r="L239" s="19">
        <f t="shared" si="4"/>
        <v>352730.55407412001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0.36*2500+0.36*1039949.28</f>
        <v>375281.74079999997</v>
      </c>
      <c r="G240" s="18">
        <f>0.35*21576+0.0765*F240+0.36*210735.66+(0.1077*F240)</f>
        <v>152543.33425536001</v>
      </c>
      <c r="H240" s="18">
        <f>0.36*208744.52+0.36*20196.01</f>
        <v>82418.590799999991</v>
      </c>
      <c r="I240" s="18">
        <f>0.36*89495.47+0.36*47559.35</f>
        <v>49339.735199999996</v>
      </c>
      <c r="J240" s="18"/>
      <c r="K240" s="18">
        <f>0.36*6154.15+0.36*16859.67</f>
        <v>8284.9751999999989</v>
      </c>
      <c r="L240" s="19">
        <f t="shared" si="4"/>
        <v>667868.37625535997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1600+54240.18+93291.31+321597.53+23495.5+86081.28+44129.79</f>
        <v>624435.59000000008</v>
      </c>
      <c r="G241" s="18">
        <f>71941.84+30547.23+(0.0765*F241)+6499.5+18488.4+6847.68+(0.1416*F241)+59010.82</f>
        <v>329524.872179</v>
      </c>
      <c r="H241" s="18">
        <f>15000+405+14591.3+6924.25+609.41+8044.91+1824.02</f>
        <v>47398.890000000007</v>
      </c>
      <c r="I241" s="18">
        <f>850.67+8638.51</f>
        <v>9489.18</v>
      </c>
      <c r="J241" s="18"/>
      <c r="K241" s="18">
        <f>13529.57+13969.3+18428.16</f>
        <v>45927.03</v>
      </c>
      <c r="L241" s="19">
        <f t="shared" si="4"/>
        <v>1056775.5621790001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>
        <f>0.36*30132.42</f>
        <v>10847.671199999999</v>
      </c>
      <c r="H242" s="18"/>
      <c r="I242" s="18"/>
      <c r="J242" s="18"/>
      <c r="K242" s="18"/>
      <c r="L242" s="19">
        <f t="shared" si="4"/>
        <v>10847.671199999999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159746.25+7906.33+8812+2133.42+0.36*406866.38</f>
        <v>325069.89679999999</v>
      </c>
      <c r="G243" s="18">
        <f>61094.07+0.36*55554.83+(0.0765*F243)+14052.78+3095+(0.1077*F243)</f>
        <v>158119.46379056</v>
      </c>
      <c r="H243" s="18">
        <f>93599.86+14650.2+14029.65+244641.86+40174.18+47289.39+16123.43+56229.52+1499.09+471143.92+6725.44+0.36*198514.97</f>
        <v>1077571.9291999999</v>
      </c>
      <c r="I243" s="18">
        <f>359250.22</f>
        <v>359250.22</v>
      </c>
      <c r="J243" s="18">
        <f>0.36*111105.88</f>
        <v>39998.116800000003</v>
      </c>
      <c r="K243" s="18"/>
      <c r="L243" s="19">
        <f t="shared" si="4"/>
        <v>1960009.62659056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77276.85+9493.26+0.29*2017767.74</f>
        <v>671922.75459999999</v>
      </c>
      <c r="I244" s="18">
        <f>0.29*358705.56</f>
        <v>104024.6124</v>
      </c>
      <c r="J244" s="18"/>
      <c r="K244" s="18"/>
      <c r="L244" s="19">
        <f t="shared" si="4"/>
        <v>775947.36699999997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f>11433.41</f>
        <v>11433.41</v>
      </c>
      <c r="I245" s="18"/>
      <c r="J245" s="18"/>
      <c r="K245" s="18"/>
      <c r="L245" s="19">
        <f>SUM(F245:K245)</f>
        <v>11433.41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7081248.6664000005</v>
      </c>
      <c r="G247" s="41">
        <f t="shared" si="5"/>
        <v>4122751.349627201</v>
      </c>
      <c r="H247" s="41">
        <f t="shared" si="5"/>
        <v>3249953.3481999999</v>
      </c>
      <c r="I247" s="41">
        <f t="shared" si="5"/>
        <v>804648.73169999989</v>
      </c>
      <c r="J247" s="41">
        <f t="shared" si="5"/>
        <v>174987.38200000004</v>
      </c>
      <c r="K247" s="41">
        <f t="shared" si="5"/>
        <v>127195.35519999999</v>
      </c>
      <c r="L247" s="41">
        <f t="shared" si="5"/>
        <v>15560784.833127201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20455743.2337</v>
      </c>
      <c r="G257" s="41">
        <f t="shared" si="8"/>
        <v>11515362.77086097</v>
      </c>
      <c r="H257" s="41">
        <f t="shared" si="8"/>
        <v>7014863.1999999993</v>
      </c>
      <c r="I257" s="41">
        <f t="shared" si="8"/>
        <v>2278945.8536999999</v>
      </c>
      <c r="J257" s="41">
        <f t="shared" si="8"/>
        <v>479293.41000000009</v>
      </c>
      <c r="K257" s="41">
        <f t="shared" si="8"/>
        <v>178141.74949999998</v>
      </c>
      <c r="L257" s="41">
        <f t="shared" si="8"/>
        <v>41922350.217760965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360000</f>
        <v>360000</v>
      </c>
      <c r="L260" s="19">
        <f>SUM(F260:K260)</f>
        <v>360000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143953.13</f>
        <v>143953.13</v>
      </c>
      <c r="L261" s="19">
        <f>SUM(F261:K261)</f>
        <v>143953.13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229345.1+8639.22+35059.84+118998.38-30132.42</f>
        <v>361910.12000000005</v>
      </c>
      <c r="L263" s="19">
        <f>SUM(F263:K263)</f>
        <v>361910.12000000005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250000</v>
      </c>
      <c r="L266" s="19">
        <f t="shared" si="9"/>
        <v>250000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1115863.25</v>
      </c>
      <c r="L270" s="41">
        <f t="shared" si="9"/>
        <v>1115863.25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20455743.2337</v>
      </c>
      <c r="G271" s="42">
        <f t="shared" si="11"/>
        <v>11515362.77086097</v>
      </c>
      <c r="H271" s="42">
        <f t="shared" si="11"/>
        <v>7014863.1999999993</v>
      </c>
      <c r="I271" s="42">
        <f t="shared" si="11"/>
        <v>2278945.8536999999</v>
      </c>
      <c r="J271" s="42">
        <f t="shared" si="11"/>
        <v>479293.41000000009</v>
      </c>
      <c r="K271" s="42">
        <f t="shared" si="11"/>
        <v>1294004.9994999999</v>
      </c>
      <c r="L271" s="42">
        <f t="shared" si="11"/>
        <v>43038213.467760965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14417.25+2500+0.3*24259.34+0.3*10298.69+0.3*10613.46+249551.68+1155</f>
        <v>281175.37699999998</v>
      </c>
      <c r="G276" s="18">
        <f>1094.4+1763.95+191.25+354+71693.94+2251.84+491.25+524.05+18523.21+35336.52+85.29+162.26</f>
        <v>132471.96000000002</v>
      </c>
      <c r="H276" s="18">
        <f>7500+17472+633.6+17472+0.3*3415.21</f>
        <v>44102.163</v>
      </c>
      <c r="I276" s="18">
        <f>11884.21+4177.15+1200+1500+944.3+909.39+305.56</f>
        <v>20920.61</v>
      </c>
      <c r="J276" s="18"/>
      <c r="K276" s="18">
        <f>12454.07+1261.04+30807.05</f>
        <v>44522.16</v>
      </c>
      <c r="L276" s="19">
        <f>SUM(F276:K276)</f>
        <v>523192.27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153164.4+5990+31465.35+11588.4</f>
        <v>202208.15</v>
      </c>
      <c r="G277" s="18">
        <f>38620.31+1589.4+420+334.22+12175.31+22536.26+22186.08+529.8+105+81.22+3084.31+4443.53</f>
        <v>106105.44</v>
      </c>
      <c r="H277" s="18">
        <f>0.3*9775</f>
        <v>2932.5</v>
      </c>
      <c r="I277" s="18">
        <f>361.4+695</f>
        <v>1056.4000000000001</v>
      </c>
      <c r="J277" s="18"/>
      <c r="K277" s="18">
        <f>220+2761.25</f>
        <v>2981.25</v>
      </c>
      <c r="L277" s="19">
        <f>SUM(F277:K277)</f>
        <v>315283.74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5000</f>
        <v>5000</v>
      </c>
      <c r="G281" s="18">
        <f>382.5</f>
        <v>382.5</v>
      </c>
      <c r="H281" s="18"/>
      <c r="I281" s="18">
        <f>8227.22</f>
        <v>8227.2199999999993</v>
      </c>
      <c r="J281" s="18">
        <f>5002.02</f>
        <v>5002.0200000000004</v>
      </c>
      <c r="K281" s="18">
        <f>373.6</f>
        <v>373.6</v>
      </c>
      <c r="L281" s="19">
        <f t="shared" ref="L281:L287" si="12">SUM(F281:K281)</f>
        <v>18985.339999999997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31472.96+605+0.3*26280.88+122.58</f>
        <v>40084.804000000004</v>
      </c>
      <c r="I282" s="18"/>
      <c r="J282" s="18"/>
      <c r="K282" s="18"/>
      <c r="L282" s="19">
        <f t="shared" si="12"/>
        <v>40084.804000000004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f>5202.75+5018.15</f>
        <v>10220.9</v>
      </c>
      <c r="G284" s="18">
        <f>10.93+398.01+736.71+383.89+710.58</f>
        <v>2240.12</v>
      </c>
      <c r="H284" s="18">
        <f>1068.75</f>
        <v>1068.75</v>
      </c>
      <c r="I284" s="18"/>
      <c r="J284" s="18"/>
      <c r="K284" s="18"/>
      <c r="L284" s="19">
        <f t="shared" si="12"/>
        <v>13529.77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f>0.36*10010</f>
        <v>3603.6</v>
      </c>
      <c r="I287" s="18"/>
      <c r="J287" s="18"/>
      <c r="K287" s="18"/>
      <c r="L287" s="19">
        <f t="shared" si="12"/>
        <v>3603.6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498604.42700000003</v>
      </c>
      <c r="G290" s="42">
        <f t="shared" si="13"/>
        <v>241200.02000000002</v>
      </c>
      <c r="H290" s="42">
        <f t="shared" si="13"/>
        <v>91791.81700000001</v>
      </c>
      <c r="I290" s="42">
        <f t="shared" si="13"/>
        <v>30204.230000000003</v>
      </c>
      <c r="J290" s="42">
        <f t="shared" si="13"/>
        <v>5002.0200000000004</v>
      </c>
      <c r="K290" s="42">
        <f t="shared" si="13"/>
        <v>47877.01</v>
      </c>
      <c r="L290" s="41">
        <f t="shared" si="13"/>
        <v>914679.52399999998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0.3*24259.34+0.3*10298.69+0.3*10613.46</f>
        <v>13551.447</v>
      </c>
      <c r="G295" s="18">
        <f>158.11+2330.81</f>
        <v>2488.92</v>
      </c>
      <c r="H295" s="18">
        <f>1257.46+1972.73+245.97+650+0.33*3415.21</f>
        <v>5253.1792999999998</v>
      </c>
      <c r="I295" s="18">
        <f>300</f>
        <v>300</v>
      </c>
      <c r="J295" s="18"/>
      <c r="K295" s="18"/>
      <c r="L295" s="19">
        <f>SUM(F295:K295)</f>
        <v>21593.546300000002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57868.5</f>
        <v>57868.5</v>
      </c>
      <c r="G296" s="18">
        <f>33279.12+794.7+157.5+121.53+3910.59+8178.41</f>
        <v>46441.850000000006</v>
      </c>
      <c r="H296" s="18">
        <f>0.3*9775+1686.32</f>
        <v>4618.82</v>
      </c>
      <c r="I296" s="18"/>
      <c r="J296" s="18"/>
      <c r="K296" s="18"/>
      <c r="L296" s="19">
        <f>SUM(F296:K296)</f>
        <v>108929.17000000001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f>0.3*26280.88+264.69</f>
        <v>8148.9539999999997</v>
      </c>
      <c r="I301" s="18"/>
      <c r="J301" s="18"/>
      <c r="K301" s="18"/>
      <c r="L301" s="19">
        <f t="shared" si="14"/>
        <v>8148.9539999999997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f>0.34*10010</f>
        <v>3403.4</v>
      </c>
      <c r="I306" s="18"/>
      <c r="J306" s="18"/>
      <c r="K306" s="18"/>
      <c r="L306" s="19">
        <f t="shared" si="14"/>
        <v>3403.4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71419.947</v>
      </c>
      <c r="G309" s="42">
        <f t="shared" si="15"/>
        <v>48930.770000000004</v>
      </c>
      <c r="H309" s="42">
        <f t="shared" si="15"/>
        <v>21424.353300000002</v>
      </c>
      <c r="I309" s="42">
        <f t="shared" si="15"/>
        <v>300</v>
      </c>
      <c r="J309" s="42">
        <f t="shared" si="15"/>
        <v>0</v>
      </c>
      <c r="K309" s="42">
        <f t="shared" si="15"/>
        <v>0</v>
      </c>
      <c r="L309" s="41">
        <f t="shared" si="15"/>
        <v>142075.07030000002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0.3*24259.34+0.3*10298.69+0.3*10613.46</f>
        <v>13551.447</v>
      </c>
      <c r="G314" s="18">
        <f>1558.29+136.61</f>
        <v>1694.9</v>
      </c>
      <c r="H314" s="18">
        <f>2492.08+1894+5000+2525.36+2848.11+0.33*3415.21</f>
        <v>15886.569300000001</v>
      </c>
      <c r="I314" s="18"/>
      <c r="J314" s="18"/>
      <c r="K314" s="18">
        <f>2681.9</f>
        <v>2681.9</v>
      </c>
      <c r="L314" s="19">
        <f>SUM(F314:K314)</f>
        <v>33814.816299999999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1975</f>
        <v>1975</v>
      </c>
      <c r="G315" s="18">
        <f>131.61+279.66</f>
        <v>411.27000000000004</v>
      </c>
      <c r="H315" s="18">
        <f>0.3*9775+1874.52+3597.82+6642+2400</f>
        <v>17446.84</v>
      </c>
      <c r="I315" s="18"/>
      <c r="J315" s="18"/>
      <c r="K315" s="18"/>
      <c r="L315" s="19">
        <f>SUM(F315:K315)</f>
        <v>19833.11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>
        <f>366.8+700+3143.58+1401.96</f>
        <v>5612.34</v>
      </c>
      <c r="I316" s="18">
        <f>6234+663.68+695</f>
        <v>7592.68</v>
      </c>
      <c r="J316" s="18">
        <f>777.24+4595.8+11146.88+2567.62+2206.25+598+9530+20845.61</f>
        <v>52267.399999999994</v>
      </c>
      <c r="K316" s="18">
        <f>445+2296.64</f>
        <v>2741.64</v>
      </c>
      <c r="L316" s="19">
        <f>SUM(F316:K316)</f>
        <v>68214.06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f>0.33*26280.88</f>
        <v>8672.6904000000013</v>
      </c>
      <c r="I320" s="18"/>
      <c r="J320" s="18"/>
      <c r="K320" s="18"/>
      <c r="L320" s="19">
        <f t="shared" si="16"/>
        <v>8672.6904000000013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f>0.3*10010</f>
        <v>3003</v>
      </c>
      <c r="I325" s="18"/>
      <c r="J325" s="18"/>
      <c r="K325" s="18"/>
      <c r="L325" s="19">
        <f t="shared" si="16"/>
        <v>3003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15526.447</v>
      </c>
      <c r="G328" s="42">
        <f t="shared" si="17"/>
        <v>2106.17</v>
      </c>
      <c r="H328" s="42">
        <f t="shared" si="17"/>
        <v>50621.439699999995</v>
      </c>
      <c r="I328" s="42">
        <f t="shared" si="17"/>
        <v>7592.68</v>
      </c>
      <c r="J328" s="42">
        <f t="shared" si="17"/>
        <v>52267.399999999994</v>
      </c>
      <c r="K328" s="42">
        <f t="shared" si="17"/>
        <v>5423.54</v>
      </c>
      <c r="L328" s="41">
        <f t="shared" si="17"/>
        <v>133537.67670000001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7400</v>
      </c>
      <c r="G333" s="18">
        <f>566.1+1047.84</f>
        <v>1613.94</v>
      </c>
      <c r="H333" s="18">
        <f>200</f>
        <v>200</v>
      </c>
      <c r="I333" s="18">
        <f>2670.42+71.77+1400</f>
        <v>4142.1900000000005</v>
      </c>
      <c r="J333" s="18"/>
      <c r="K333" s="18"/>
      <c r="L333" s="19">
        <f t="shared" si="18"/>
        <v>13356.130000000001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7400</v>
      </c>
      <c r="G337" s="41">
        <f t="shared" si="19"/>
        <v>1613.94</v>
      </c>
      <c r="H337" s="41">
        <f t="shared" si="19"/>
        <v>200</v>
      </c>
      <c r="I337" s="41">
        <f t="shared" si="19"/>
        <v>4142.1900000000005</v>
      </c>
      <c r="J337" s="41">
        <f t="shared" si="19"/>
        <v>0</v>
      </c>
      <c r="K337" s="41">
        <f t="shared" si="19"/>
        <v>0</v>
      </c>
      <c r="L337" s="41">
        <f t="shared" si="18"/>
        <v>13356.130000000001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592950.82100000011</v>
      </c>
      <c r="G338" s="41">
        <f t="shared" si="20"/>
        <v>293850.90000000002</v>
      </c>
      <c r="H338" s="41">
        <f t="shared" si="20"/>
        <v>164037.61000000002</v>
      </c>
      <c r="I338" s="41">
        <f t="shared" si="20"/>
        <v>42239.100000000006</v>
      </c>
      <c r="J338" s="41">
        <f t="shared" si="20"/>
        <v>57269.42</v>
      </c>
      <c r="K338" s="41">
        <f t="shared" si="20"/>
        <v>53300.55</v>
      </c>
      <c r="L338" s="41">
        <f t="shared" si="20"/>
        <v>1203648.4009999998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f>2477.53+6.27+534.29+4372.55+68.67+54.36+1407+10966.83</f>
        <v>19887.5</v>
      </c>
      <c r="L344" s="19">
        <f t="shared" ref="L344:L350" si="21">SUM(F344:K344)</f>
        <v>19887.5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19887.5</v>
      </c>
      <c r="L351" s="41">
        <f>SUM(L341:L350)</f>
        <v>19887.5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592950.82100000011</v>
      </c>
      <c r="G352" s="41">
        <f>G338</f>
        <v>293850.90000000002</v>
      </c>
      <c r="H352" s="41">
        <f>H338</f>
        <v>164037.61000000002</v>
      </c>
      <c r="I352" s="41">
        <f>I338</f>
        <v>42239.100000000006</v>
      </c>
      <c r="J352" s="41">
        <f>J338</f>
        <v>57269.42</v>
      </c>
      <c r="K352" s="47">
        <f>K338+K351</f>
        <v>73188.05</v>
      </c>
      <c r="L352" s="41">
        <f>L338+L351</f>
        <v>1223535.9009999998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36467.45+24314.44+0.3*(86357.21+19070+53696.04)</f>
        <v>108518.86499999999</v>
      </c>
      <c r="G358" s="18">
        <f>667.17+2789.81+2152.74+1860.05+0.3*257643.51</f>
        <v>84762.823000000004</v>
      </c>
      <c r="H358" s="18">
        <f>408.03+1568.99+1387.08+2861.28+0.3*3929.52</f>
        <v>7404.2359999999999</v>
      </c>
      <c r="I358" s="18">
        <f>9376.28+4535.63+39677.01+12797.7+1712.15+591.58+0.3*13978.5</f>
        <v>72883.899999999994</v>
      </c>
      <c r="J358" s="18"/>
      <c r="K358" s="18">
        <f>295+295-138.92+0.3*2784.49-0.3*1696.62</f>
        <v>777.44100000000003</v>
      </c>
      <c r="L358" s="13">
        <f>SUM(F358:K358)</f>
        <v>274347.26500000001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40139.31+79285.54+0.34*(86357.21+19070.36+53696.04)</f>
        <v>173526.8774</v>
      </c>
      <c r="G359" s="18">
        <f>4327.33+2779.55+6676.85+5335.31+0.34*257643.51</f>
        <v>106717.8334</v>
      </c>
      <c r="H359" s="18">
        <f>207.72+950.12+172.5+150.35+28+2787.99+391.06+17.55+0.34*3929.52</f>
        <v>6041.3267999999998</v>
      </c>
      <c r="I359" s="18">
        <f>6900.7+97193.22+7521.14+1275+724+309.39+8179.28+86290.31+9953.58+1447.5+1785.25+776.4+0.34*13978.5</f>
        <v>227108.45999999996</v>
      </c>
      <c r="J359" s="18"/>
      <c r="K359" s="18">
        <f>489.04-392.46+489.04+403.93+0.34*2784.49-0.34*1696.62</f>
        <v>1359.4258</v>
      </c>
      <c r="L359" s="19">
        <f>SUM(F359:K359)</f>
        <v>514753.92339999997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143498+0.36*(86357.21+19070.36+53696.04)</f>
        <v>200782.49960000001</v>
      </c>
      <c r="G360" s="18">
        <f>11931.47+9738.21+0.36*257643.51</f>
        <v>114421.34359999999</v>
      </c>
      <c r="H360" s="18">
        <f>117.44+2573.55+167.5+0.36*3929.52</f>
        <v>4273.1172000000006</v>
      </c>
      <c r="I360" s="18">
        <f>13573.79+158825.87+23318.63+1593.78+2096.6+488.7+0.36*13978.5+491.13</f>
        <v>205420.76000000004</v>
      </c>
      <c r="J360" s="18"/>
      <c r="K360" s="18">
        <f>532.86+445.38+0.36*2784.49-0.36*1696.62</f>
        <v>1369.8732</v>
      </c>
      <c r="L360" s="19">
        <f>SUM(F360:K360)</f>
        <v>526267.59360000002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482828.24199999997</v>
      </c>
      <c r="G362" s="47">
        <f t="shared" si="22"/>
        <v>305902</v>
      </c>
      <c r="H362" s="47">
        <f t="shared" si="22"/>
        <v>17718.68</v>
      </c>
      <c r="I362" s="47">
        <f t="shared" si="22"/>
        <v>505413.12</v>
      </c>
      <c r="J362" s="47">
        <f t="shared" si="22"/>
        <v>0</v>
      </c>
      <c r="K362" s="47">
        <f t="shared" si="22"/>
        <v>3506.74</v>
      </c>
      <c r="L362" s="47">
        <f t="shared" si="22"/>
        <v>1315368.7820000001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I358-F368</f>
        <v>66044.539999999994</v>
      </c>
      <c r="G367" s="18">
        <f>I359-G368</f>
        <v>208433.43999999997</v>
      </c>
      <c r="H367" s="18">
        <f>I360-H368</f>
        <v>189750.37000000002</v>
      </c>
      <c r="I367" s="56">
        <f>SUM(F367:H367)</f>
        <v>464228.35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4535.63+1712.15+591.58</f>
        <v>6839.3600000000006</v>
      </c>
      <c r="G368" s="63">
        <f>6900.7+724+309.39+8179.28+1785.25+776.4</f>
        <v>18675.02</v>
      </c>
      <c r="H368" s="63">
        <f>13573.79+2096.6</f>
        <v>15670.390000000001</v>
      </c>
      <c r="I368" s="56">
        <f>SUM(F368:H368)</f>
        <v>41184.770000000004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72883.899999999994</v>
      </c>
      <c r="G369" s="47">
        <f>SUM(G367:G368)</f>
        <v>227108.45999999996</v>
      </c>
      <c r="H369" s="47">
        <f>SUM(H367:H368)</f>
        <v>205420.76000000004</v>
      </c>
      <c r="I369" s="47">
        <f>SUM(I367:I368)</f>
        <v>505413.12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f>-29924+52763.77-3184.27-390-822.5-13988.83-5116.32+22233.32+64999.96+58900+22095.9</f>
        <v>167567.03</v>
      </c>
      <c r="I378" s="18"/>
      <c r="J378" s="18"/>
      <c r="K378" s="18">
        <f>88725.07-28493</f>
        <v>60232.070000000007</v>
      </c>
      <c r="L378" s="13">
        <f t="shared" si="23"/>
        <v>227799.1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167567.03</v>
      </c>
      <c r="I382" s="41">
        <f t="shared" si="24"/>
        <v>0</v>
      </c>
      <c r="J382" s="47">
        <f t="shared" si="24"/>
        <v>0</v>
      </c>
      <c r="K382" s="47">
        <f t="shared" si="24"/>
        <v>60232.070000000007</v>
      </c>
      <c r="L382" s="47">
        <f t="shared" si="24"/>
        <v>227799.1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>
        <v>50000</v>
      </c>
      <c r="H395" s="18">
        <v>0.06</v>
      </c>
      <c r="I395" s="18"/>
      <c r="J395" s="24" t="s">
        <v>289</v>
      </c>
      <c r="K395" s="24" t="s">
        <v>289</v>
      </c>
      <c r="L395" s="56">
        <f t="shared" ref="L395:L400" si="26">SUM(F395:K395)</f>
        <v>50000.06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100000</v>
      </c>
      <c r="H396" s="18">
        <v>25.45</v>
      </c>
      <c r="I396" s="18"/>
      <c r="J396" s="24" t="s">
        <v>289</v>
      </c>
      <c r="K396" s="24" t="s">
        <v>289</v>
      </c>
      <c r="L396" s="56">
        <f t="shared" si="26"/>
        <v>100025.45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100000</v>
      </c>
      <c r="H397" s="18">
        <v>40.049999999999997</v>
      </c>
      <c r="I397" s="18"/>
      <c r="J397" s="24" t="s">
        <v>289</v>
      </c>
      <c r="K397" s="24" t="s">
        <v>289</v>
      </c>
      <c r="L397" s="56">
        <f t="shared" si="26"/>
        <v>100040.05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250000</v>
      </c>
      <c r="H401" s="47">
        <f>SUM(H395:H400)</f>
        <v>65.56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250065.56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250000</v>
      </c>
      <c r="H408" s="47">
        <f>H393+H401+H407</f>
        <v>65.56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250065.56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396177.41</f>
        <v>396177.41</v>
      </c>
      <c r="G440" s="18">
        <f>536801.22+50000.06</f>
        <v>586801.28</v>
      </c>
      <c r="H440" s="18"/>
      <c r="I440" s="56">
        <f t="shared" si="33"/>
        <v>982978.69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396177.41</v>
      </c>
      <c r="G446" s="13">
        <f>SUM(G439:G445)</f>
        <v>586801.28</v>
      </c>
      <c r="H446" s="13">
        <f>SUM(H439:H445)</f>
        <v>0</v>
      </c>
      <c r="I446" s="13">
        <f>SUM(I439:I445)</f>
        <v>982978.69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F446-F452</f>
        <v>396177.41</v>
      </c>
      <c r="G459" s="18">
        <f>G446-G452</f>
        <v>586801.28</v>
      </c>
      <c r="H459" s="18">
        <f t="shared" ref="H459" si="35">H440-H452</f>
        <v>0</v>
      </c>
      <c r="I459" s="56">
        <f t="shared" si="34"/>
        <v>982978.69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396177.41</v>
      </c>
      <c r="G460" s="83">
        <f>SUM(G454:G459)</f>
        <v>586801.28</v>
      </c>
      <c r="H460" s="83">
        <f>SUM(H454:H459)</f>
        <v>0</v>
      </c>
      <c r="I460" s="83">
        <f>SUM(I454:I459)</f>
        <v>982978.69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396177.41</v>
      </c>
      <c r="G461" s="42">
        <f>G452+G460</f>
        <v>586801.28</v>
      </c>
      <c r="H461" s="42">
        <f>H452+H460</f>
        <v>0</v>
      </c>
      <c r="I461" s="42">
        <f>I452+I460</f>
        <v>982978.69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f>1960884.4-292908.49</f>
        <v>1667975.91</v>
      </c>
      <c r="G465" s="18">
        <f>-215311.25</f>
        <v>-215311.25</v>
      </c>
      <c r="H465" s="18">
        <v>550</v>
      </c>
      <c r="I465" s="18">
        <f>235950.77</f>
        <v>235950.77</v>
      </c>
      <c r="J465" s="18">
        <f>730957.74+1955.39</f>
        <v>732913.13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42959017.25</v>
      </c>
      <c r="G468" s="18">
        <f>G193</f>
        <v>1358304.63</v>
      </c>
      <c r="H468" s="18">
        <f>H162</f>
        <v>1222985.9000000001</v>
      </c>
      <c r="I468" s="18">
        <v>18.649999999999999</v>
      </c>
      <c r="J468" s="18">
        <f>L408</f>
        <v>250065.56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f>56760+12313.84</f>
        <v>69073.84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42959017.25</v>
      </c>
      <c r="G470" s="53">
        <f>SUM(G468:G469)</f>
        <v>1427378.47</v>
      </c>
      <c r="H470" s="53">
        <f>SUM(H468:H469)</f>
        <v>1222985.9000000001</v>
      </c>
      <c r="I470" s="53">
        <f>SUM(I468:I469)</f>
        <v>18.649999999999999</v>
      </c>
      <c r="J470" s="53">
        <f>SUM(J468:J469)</f>
        <v>250065.56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43038213.467760965</v>
      </c>
      <c r="G472" s="18">
        <f>L362</f>
        <v>1315368.7820000001</v>
      </c>
      <c r="H472" s="18">
        <f>L352</f>
        <v>1223535.9009999998</v>
      </c>
      <c r="I472" s="18">
        <f>L382</f>
        <v>227799.1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2205.79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43040419.257760964</v>
      </c>
      <c r="G474" s="53">
        <f>SUM(G472:G473)</f>
        <v>1315368.7820000001</v>
      </c>
      <c r="H474" s="53">
        <f>SUM(H472:H473)</f>
        <v>1223535.9009999998</v>
      </c>
      <c r="I474" s="53">
        <f>SUM(I472:I473)</f>
        <v>227799.1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1586573.9022390321</v>
      </c>
      <c r="G476" s="53">
        <f>(G465+G470)- G474</f>
        <v>-103301.56200000015</v>
      </c>
      <c r="H476" s="53">
        <f>(H465+H470)- H474</f>
        <v>-9.9999969825148582E-4</v>
      </c>
      <c r="I476" s="53">
        <f>(I465+I470)- I474</f>
        <v>8170.3199999999779</v>
      </c>
      <c r="J476" s="53">
        <f>(J465+J470)- J474</f>
        <v>982978.69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3575000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1.69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3575000</v>
      </c>
      <c r="G495" s="18"/>
      <c r="H495" s="18"/>
      <c r="I495" s="18"/>
      <c r="J495" s="18"/>
      <c r="K495" s="53">
        <f>SUM(F495:J495)</f>
        <v>3575000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6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360000</v>
      </c>
      <c r="G497" s="18"/>
      <c r="H497" s="18"/>
      <c r="I497" s="18"/>
      <c r="J497" s="18"/>
      <c r="K497" s="53">
        <f t="shared" si="36"/>
        <v>360000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3215000</v>
      </c>
      <c r="G498" s="204"/>
      <c r="H498" s="204"/>
      <c r="I498" s="204"/>
      <c r="J498" s="204"/>
      <c r="K498" s="205">
        <f t="shared" si="36"/>
        <v>3215000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652725</v>
      </c>
      <c r="G499" s="18"/>
      <c r="H499" s="18"/>
      <c r="I499" s="18"/>
      <c r="J499" s="18"/>
      <c r="K499" s="53">
        <f t="shared" si="36"/>
        <v>652725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3867725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3867725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6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6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0.5*185460.93+68019.2+84756.37+0.3*1522396.72</f>
        <v>702225.05099999998</v>
      </c>
      <c r="G521" s="18">
        <f>F521*0.2181+390933.56</f>
        <v>544088.84362309997</v>
      </c>
      <c r="H521" s="18">
        <f>130875.65</f>
        <v>130875.65</v>
      </c>
      <c r="I521" s="18">
        <f>13273.87+7015.71+744.49</f>
        <v>21034.070000000003</v>
      </c>
      <c r="J521" s="18">
        <f>4320.74+628+996.25</f>
        <v>5944.99</v>
      </c>
      <c r="K521" s="18"/>
      <c r="L521" s="88">
        <f>SUM(F521:K521)</f>
        <v>1404168.6046230998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108167.77+0.5*185460.83+0.29*1522396.72</f>
        <v>642393.23380000005</v>
      </c>
      <c r="G522" s="18">
        <f>F522*0.2181+336007.35</f>
        <v>476113.31429178</v>
      </c>
      <c r="H522" s="18">
        <f>5109+296575.09</f>
        <v>301684.09000000003</v>
      </c>
      <c r="I522" s="18">
        <f>3714.08</f>
        <v>3714.08</v>
      </c>
      <c r="J522" s="18"/>
      <c r="K522" s="18"/>
      <c r="L522" s="88">
        <f>SUM(F522:K522)</f>
        <v>1423904.7180917801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378647.93+0.41*1522396.72</f>
        <v>1002830.5851999999</v>
      </c>
      <c r="G523" s="18">
        <f>F523*0.2181+215189.32+200566.12+78388.85</f>
        <v>712861.64063211996</v>
      </c>
      <c r="H523" s="18">
        <f>770+1063444.53</f>
        <v>1064214.53</v>
      </c>
      <c r="I523" s="18">
        <f>378.66</f>
        <v>378.66</v>
      </c>
      <c r="J523" s="18"/>
      <c r="K523" s="18"/>
      <c r="L523" s="88">
        <f>SUM(F523:K523)</f>
        <v>2780285.41583212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2347448.87</v>
      </c>
      <c r="G524" s="108">
        <f t="shared" ref="G524:L524" si="37">SUM(G521:G523)</f>
        <v>1733063.7985469999</v>
      </c>
      <c r="H524" s="108">
        <f t="shared" si="37"/>
        <v>1496774.27</v>
      </c>
      <c r="I524" s="108">
        <f t="shared" si="37"/>
        <v>25126.81</v>
      </c>
      <c r="J524" s="108">
        <f t="shared" si="37"/>
        <v>5944.99</v>
      </c>
      <c r="K524" s="108">
        <f t="shared" si="37"/>
        <v>0</v>
      </c>
      <c r="L524" s="89">
        <f t="shared" si="37"/>
        <v>5608358.7385470001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0.36*(209583.5+283732.39+271386.25+29576.87+97662.3)+102246+64861+43589+62170.13+49065.5+58782+128337+60522</f>
        <v>890671.50159999996</v>
      </c>
      <c r="G526" s="18">
        <f>F526*21.81%+356268.4</f>
        <v>550523.85449895996</v>
      </c>
      <c r="H526" s="18">
        <f>27079.89</f>
        <v>27079.89</v>
      </c>
      <c r="I526" s="18">
        <f>229.43+1059.72+35+594</f>
        <v>1918.15</v>
      </c>
      <c r="J526" s="18">
        <f>4830.3+138.75</f>
        <v>4969.05</v>
      </c>
      <c r="K526" s="18"/>
      <c r="L526" s="88">
        <f>SUM(F526:K526)</f>
        <v>1475162.4460989598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0.29*(209583.5+283732.39+271386.25+29576.87+97662.3)+142344.08+241262.44</f>
        <v>642269.49989999994</v>
      </c>
      <c r="G527" s="18">
        <f>F527*21.81%+256907.8</f>
        <v>396986.77792818996</v>
      </c>
      <c r="H527" s="18"/>
      <c r="I527" s="18">
        <f>1299.98+600+265+615.73</f>
        <v>2780.71</v>
      </c>
      <c r="J527" s="18">
        <f>100</f>
        <v>100</v>
      </c>
      <c r="K527" s="18"/>
      <c r="L527" s="88">
        <f>SUM(F527:K527)</f>
        <v>1042136.9878281899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0.35*(209583.5+283732.39+271386.25+29576.87+97662.3)</f>
        <v>312179.45850000001</v>
      </c>
      <c r="G528" s="18">
        <f>F528*21.81%+62435.9</f>
        <v>130522.23989885001</v>
      </c>
      <c r="H528" s="18">
        <f>997.64</f>
        <v>997.64</v>
      </c>
      <c r="I528" s="18">
        <f>1871.19+174.55</f>
        <v>2045.74</v>
      </c>
      <c r="J528" s="18"/>
      <c r="K528" s="18"/>
      <c r="L528" s="88">
        <f>SUM(F528:K528)</f>
        <v>445745.07839885005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1845120.4599999997</v>
      </c>
      <c r="G529" s="89">
        <f t="shared" ref="G529:L529" si="38">SUM(G526:G528)</f>
        <v>1078032.8723259999</v>
      </c>
      <c r="H529" s="89">
        <f t="shared" si="38"/>
        <v>28077.53</v>
      </c>
      <c r="I529" s="89">
        <f t="shared" si="38"/>
        <v>6744.6</v>
      </c>
      <c r="J529" s="89">
        <f t="shared" si="38"/>
        <v>5069.05</v>
      </c>
      <c r="K529" s="89">
        <f t="shared" si="38"/>
        <v>0</v>
      </c>
      <c r="L529" s="89">
        <f t="shared" si="38"/>
        <v>2963044.5123259993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0.35*(82368.49+176727.7)+102283.66</f>
        <v>192967.3265</v>
      </c>
      <c r="G531" s="18">
        <f>F531*7.65%+0.35*57999.51+38593.4</f>
        <v>73655.228977249993</v>
      </c>
      <c r="H531" s="18"/>
      <c r="I531" s="18"/>
      <c r="J531" s="18"/>
      <c r="K531" s="18">
        <f>0.35*5315</f>
        <v>1860.2499999999998</v>
      </c>
      <c r="L531" s="88">
        <f>SUM(F531:K531)</f>
        <v>268482.80547725002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0.29*(82368.49+176727.7)</f>
        <v>75137.895099999994</v>
      </c>
      <c r="G532" s="18">
        <f>F532*7.65%+0.29*57999.51</f>
        <v>22567.906875149998</v>
      </c>
      <c r="H532" s="18"/>
      <c r="I532" s="18"/>
      <c r="J532" s="18"/>
      <c r="K532" s="18">
        <f>0.29*5315</f>
        <v>1541.35</v>
      </c>
      <c r="L532" s="88">
        <f>SUM(F532:K532)</f>
        <v>99247.151975150002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0.36*(82368.49+176727.7)</f>
        <v>93274.628400000001</v>
      </c>
      <c r="G533" s="18">
        <f>F533*7.65%+0.36*57999.51</f>
        <v>28015.332672600001</v>
      </c>
      <c r="H533" s="18"/>
      <c r="I533" s="18">
        <v>601.65</v>
      </c>
      <c r="J533" s="18"/>
      <c r="K533" s="18">
        <f>0.36*5315</f>
        <v>1913.3999999999999</v>
      </c>
      <c r="L533" s="88">
        <f>SUM(F533:K533)</f>
        <v>123805.0110726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361379.85</v>
      </c>
      <c r="G534" s="89">
        <f t="shared" ref="G534:L534" si="39">SUM(G531:G533)</f>
        <v>124238.468525</v>
      </c>
      <c r="H534" s="89">
        <f t="shared" si="39"/>
        <v>0</v>
      </c>
      <c r="I534" s="89">
        <f t="shared" si="39"/>
        <v>601.65</v>
      </c>
      <c r="J534" s="89">
        <f t="shared" si="39"/>
        <v>0</v>
      </c>
      <c r="K534" s="89">
        <f t="shared" si="39"/>
        <v>5314.9999999999991</v>
      </c>
      <c r="L534" s="89">
        <f t="shared" si="39"/>
        <v>491534.96852500003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0.35*28256.4</f>
        <v>9889.74</v>
      </c>
      <c r="I536" s="18"/>
      <c r="J536" s="18"/>
      <c r="K536" s="18"/>
      <c r="L536" s="88">
        <f>SUM(F536:K536)</f>
        <v>9889.74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0.29*28256.4</f>
        <v>8194.3559999999998</v>
      </c>
      <c r="I537" s="18"/>
      <c r="J537" s="18"/>
      <c r="K537" s="18"/>
      <c r="L537" s="88">
        <f>SUM(F537:K537)</f>
        <v>8194.3559999999998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0.36*28256.4</f>
        <v>10172.304</v>
      </c>
      <c r="I538" s="18"/>
      <c r="J538" s="18"/>
      <c r="K538" s="18"/>
      <c r="L538" s="88">
        <f>SUM(F538:K538)</f>
        <v>10172.304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28256.399999999998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28256.399999999998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212699.72</v>
      </c>
      <c r="I541" s="18"/>
      <c r="J541" s="18"/>
      <c r="K541" s="18"/>
      <c r="L541" s="88">
        <f>SUM(F541:K541)</f>
        <v>212699.72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0.29*(74349.3+518486.36)</f>
        <v>171922.3414</v>
      </c>
      <c r="I542" s="18"/>
      <c r="J542" s="18"/>
      <c r="K542" s="18"/>
      <c r="L542" s="88">
        <f>SUM(F542:K542)</f>
        <v>171922.3414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213420.84</f>
        <v>213420.84</v>
      </c>
      <c r="I543" s="18"/>
      <c r="J543" s="18"/>
      <c r="K543" s="18"/>
      <c r="L543" s="88">
        <f>SUM(F543:K543)</f>
        <v>213420.84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598042.90139999997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598042.90139999997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4553949.18</v>
      </c>
      <c r="G545" s="89">
        <f t="shared" ref="G545:L545" si="42">G524+G529+G534+G539+G544</f>
        <v>2935335.1393979997</v>
      </c>
      <c r="H545" s="89">
        <f t="shared" si="42"/>
        <v>2151151.1014</v>
      </c>
      <c r="I545" s="89">
        <f t="shared" si="42"/>
        <v>32473.060000000005</v>
      </c>
      <c r="J545" s="89">
        <f t="shared" si="42"/>
        <v>11014.04</v>
      </c>
      <c r="K545" s="89">
        <f t="shared" si="42"/>
        <v>5314.9999999999991</v>
      </c>
      <c r="L545" s="89">
        <f t="shared" si="42"/>
        <v>9689237.5207979996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1404168.6046230998</v>
      </c>
      <c r="G549" s="87">
        <f>L526</f>
        <v>1475162.4460989598</v>
      </c>
      <c r="H549" s="87">
        <f>L531</f>
        <v>268482.80547725002</v>
      </c>
      <c r="I549" s="87">
        <f>L536</f>
        <v>9889.74</v>
      </c>
      <c r="J549" s="87">
        <f>L541</f>
        <v>212699.72</v>
      </c>
      <c r="K549" s="87">
        <f>SUM(F549:J549)</f>
        <v>3370403.3161993101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1423904.7180917801</v>
      </c>
      <c r="G550" s="87">
        <f>L527</f>
        <v>1042136.9878281899</v>
      </c>
      <c r="H550" s="87">
        <f>L532</f>
        <v>99247.151975150002</v>
      </c>
      <c r="I550" s="87">
        <f>L537</f>
        <v>8194.3559999999998</v>
      </c>
      <c r="J550" s="87">
        <f>L542</f>
        <v>171922.3414</v>
      </c>
      <c r="K550" s="87">
        <f>SUM(F550:J550)</f>
        <v>2745405.55529512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2780285.41583212</v>
      </c>
      <c r="G551" s="87">
        <f>L528</f>
        <v>445745.07839885005</v>
      </c>
      <c r="H551" s="87">
        <f>L533</f>
        <v>123805.0110726</v>
      </c>
      <c r="I551" s="87">
        <f>L538</f>
        <v>10172.304</v>
      </c>
      <c r="J551" s="87">
        <f>L543</f>
        <v>213420.84</v>
      </c>
      <c r="K551" s="87">
        <f>SUM(F551:J551)</f>
        <v>3573428.6493035695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5608358.7385470001</v>
      </c>
      <c r="G552" s="89">
        <f t="shared" si="43"/>
        <v>2963044.5123259993</v>
      </c>
      <c r="H552" s="89">
        <f t="shared" si="43"/>
        <v>491534.96852500003</v>
      </c>
      <c r="I552" s="89">
        <f t="shared" si="43"/>
        <v>28256.399999999998</v>
      </c>
      <c r="J552" s="89">
        <f t="shared" si="43"/>
        <v>598042.90139999997</v>
      </c>
      <c r="K552" s="89">
        <f t="shared" si="43"/>
        <v>9689237.5207979996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0.35*48667</f>
        <v>17033.45</v>
      </c>
      <c r="G562" s="18"/>
      <c r="H562" s="18">
        <f>3796.56*0.35</f>
        <v>1328.7959999999998</v>
      </c>
      <c r="I562" s="18">
        <f>2101.36*0.35</f>
        <v>735.476</v>
      </c>
      <c r="J562" s="18"/>
      <c r="K562" s="18"/>
      <c r="L562" s="88">
        <f>SUM(F562:K562)</f>
        <v>19097.721999999998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0.29*48667</f>
        <v>14113.429999999998</v>
      </c>
      <c r="G563" s="18"/>
      <c r="H563" s="18">
        <f>3796.56*0.29</f>
        <v>1101.0023999999999</v>
      </c>
      <c r="I563" s="18">
        <f>2101.36*0.29</f>
        <v>609.39440000000002</v>
      </c>
      <c r="J563" s="18"/>
      <c r="K563" s="18"/>
      <c r="L563" s="88">
        <f>SUM(F563:K563)</f>
        <v>15823.826799999997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0.36*48667</f>
        <v>17520.12</v>
      </c>
      <c r="G564" s="18"/>
      <c r="H564" s="18">
        <f>3796.56*0.36</f>
        <v>1366.7615999999998</v>
      </c>
      <c r="I564" s="18">
        <f>2101.36*0.36</f>
        <v>756.4896</v>
      </c>
      <c r="J564" s="18"/>
      <c r="K564" s="18"/>
      <c r="L564" s="88">
        <f>SUM(F564:K564)</f>
        <v>19643.371200000001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48667</v>
      </c>
      <c r="G565" s="89">
        <f t="shared" si="45"/>
        <v>0</v>
      </c>
      <c r="H565" s="89">
        <f t="shared" si="45"/>
        <v>3796.5599999999995</v>
      </c>
      <c r="I565" s="89">
        <f t="shared" si="45"/>
        <v>2101.36</v>
      </c>
      <c r="J565" s="89">
        <f t="shared" si="45"/>
        <v>0</v>
      </c>
      <c r="K565" s="89">
        <f t="shared" si="45"/>
        <v>0</v>
      </c>
      <c r="L565" s="89">
        <f t="shared" si="45"/>
        <v>54564.92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48667</v>
      </c>
      <c r="G571" s="89">
        <f t="shared" ref="G571:L571" si="47">G560+G565+G570</f>
        <v>0</v>
      </c>
      <c r="H571" s="89">
        <f t="shared" si="47"/>
        <v>3796.5599999999995</v>
      </c>
      <c r="I571" s="89">
        <f t="shared" si="47"/>
        <v>2101.36</v>
      </c>
      <c r="J571" s="89">
        <f t="shared" si="47"/>
        <v>0</v>
      </c>
      <c r="K571" s="89">
        <f t="shared" si="47"/>
        <v>0</v>
      </c>
      <c r="L571" s="89">
        <f t="shared" si="47"/>
        <v>54564.92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>SUM(F578:H578)</f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4"/>
      <c r="G579" s="18"/>
      <c r="H579" s="18">
        <v>34211.54</v>
      </c>
      <c r="I579" s="87">
        <f t="shared" si="48"/>
        <v>34211.54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130875.65</f>
        <v>130875.65</v>
      </c>
      <c r="G582" s="18">
        <f>296574.61</f>
        <v>296574.61</v>
      </c>
      <c r="H582" s="18">
        <f>1029232.99</f>
        <v>1029232.99</v>
      </c>
      <c r="I582" s="87">
        <f t="shared" si="48"/>
        <v>1456683.25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0.36*1424932.09+0.36*350744.6</f>
        <v>639243.60840000003</v>
      </c>
      <c r="I591" s="18">
        <f>0.29*1424932.09+0.29*350744.6+148486.13</f>
        <v>663432.37009999994</v>
      </c>
      <c r="J591" s="18">
        <f>0.35*1424932.09+0.35*350744.6-145008.3</f>
        <v>476478.54149999999</v>
      </c>
      <c r="K591" s="104">
        <f t="shared" ref="K591:K597" si="49">SUM(H591:J591)</f>
        <v>1779154.52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H541</f>
        <v>212699.72</v>
      </c>
      <c r="I592" s="18">
        <f>0.29*592835.66</f>
        <v>171922.3414</v>
      </c>
      <c r="J592" s="18">
        <f>H543</f>
        <v>213420.84</v>
      </c>
      <c r="K592" s="104">
        <f t="shared" si="49"/>
        <v>598042.90139999997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10949.72+15655.33</f>
        <v>26605.05</v>
      </c>
      <c r="J594" s="18">
        <f>77276.65-721.12</f>
        <v>76555.53</v>
      </c>
      <c r="K594" s="104">
        <f t="shared" si="49"/>
        <v>103160.58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22543.26</f>
        <v>22543.26</v>
      </c>
      <c r="I595" s="18">
        <f>24643.4+15948.44</f>
        <v>40591.840000000004</v>
      </c>
      <c r="J595" s="18">
        <f>9493.26</f>
        <v>9493.26</v>
      </c>
      <c r="K595" s="104">
        <f t="shared" si="49"/>
        <v>72628.36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874486.58840000001</v>
      </c>
      <c r="I598" s="108">
        <f>SUM(I591:I597)</f>
        <v>902551.60149999999</v>
      </c>
      <c r="J598" s="108">
        <f>SUM(J591:J597)</f>
        <v>775948.17150000005</v>
      </c>
      <c r="K598" s="108">
        <f>SUM(K591:K597)</f>
        <v>2552986.3613999998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</f>
        <v>170570.35500000001</v>
      </c>
      <c r="I604" s="18">
        <f>J229+J309</f>
        <v>138737.693</v>
      </c>
      <c r="J604" s="18">
        <f>J247+J328</f>
        <v>227254.78200000004</v>
      </c>
      <c r="K604" s="104">
        <f>SUM(H604:J604)</f>
        <v>536562.83000000007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170570.35500000001</v>
      </c>
      <c r="I605" s="108">
        <f>SUM(I602:I604)</f>
        <v>138737.693</v>
      </c>
      <c r="J605" s="108">
        <f>SUM(J602:J604)</f>
        <v>227254.78200000004</v>
      </c>
      <c r="K605" s="108">
        <f>SUM(K602:K604)</f>
        <v>536562.83000000007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74726.13*0.35</f>
        <v>26154.145499999999</v>
      </c>
      <c r="G611" s="18"/>
      <c r="H611" s="18">
        <f>0.35*74349.3</f>
        <v>26022.255000000001</v>
      </c>
      <c r="I611" s="18">
        <f>0.35*5109</f>
        <v>1788.1499999999999</v>
      </c>
      <c r="J611" s="18"/>
      <c r="K611" s="18"/>
      <c r="L611" s="88">
        <f>SUM(F611:K611)</f>
        <v>53964.550500000005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74726.13*0.29</f>
        <v>21670.577700000002</v>
      </c>
      <c r="G612" s="18"/>
      <c r="H612" s="18">
        <f>0.29*74349.3</f>
        <v>21561.296999999999</v>
      </c>
      <c r="I612" s="18">
        <f>0.29*5109</f>
        <v>1481.61</v>
      </c>
      <c r="J612" s="18"/>
      <c r="K612" s="18"/>
      <c r="L612" s="88">
        <f>SUM(F612:K612)</f>
        <v>44713.484700000001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74726.13*0.36</f>
        <v>26901.406800000001</v>
      </c>
      <c r="G613" s="18"/>
      <c r="H613" s="18">
        <f>0.36*74349.3</f>
        <v>26765.748</v>
      </c>
      <c r="I613" s="18">
        <f>0.36*5109</f>
        <v>1839.24</v>
      </c>
      <c r="J613" s="18"/>
      <c r="K613" s="18"/>
      <c r="L613" s="88">
        <f>SUM(F613:K613)</f>
        <v>55506.394800000002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74726.13</v>
      </c>
      <c r="G614" s="108">
        <f t="shared" si="50"/>
        <v>0</v>
      </c>
      <c r="H614" s="108">
        <f t="shared" si="50"/>
        <v>74349.299999999988</v>
      </c>
      <c r="I614" s="108">
        <f t="shared" si="50"/>
        <v>5109</v>
      </c>
      <c r="J614" s="108">
        <f t="shared" si="50"/>
        <v>0</v>
      </c>
      <c r="K614" s="108">
        <f t="shared" si="50"/>
        <v>0</v>
      </c>
      <c r="L614" s="89">
        <f t="shared" si="50"/>
        <v>154184.43000000002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2255914.71</v>
      </c>
      <c r="H617" s="109">
        <f>SUM(F52)</f>
        <v>2255914.71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101011.23999999999</v>
      </c>
      <c r="H618" s="109">
        <f>SUM(G52)</f>
        <v>101011.23999999999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220710.71</v>
      </c>
      <c r="H619" s="109">
        <f>SUM(H52)</f>
        <v>220710.71000000002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8170.32</v>
      </c>
      <c r="H620" s="109">
        <f>SUM(I52)</f>
        <v>8170.32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982978.69</v>
      </c>
      <c r="H621" s="109">
        <f>SUM(J52)</f>
        <v>982978.69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1586573.9</v>
      </c>
      <c r="H622" s="109">
        <f>F476</f>
        <v>1586573.9022390321</v>
      </c>
      <c r="I622" s="121" t="s">
        <v>101</v>
      </c>
      <c r="J622" s="109">
        <f t="shared" ref="J622:J655" si="51">G622-H622</f>
        <v>-2.2390321828424931E-3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-103301.56</v>
      </c>
      <c r="H623" s="109">
        <f>G476</f>
        <v>-103301.56200000015</v>
      </c>
      <c r="I623" s="121" t="s">
        <v>102</v>
      </c>
      <c r="J623" s="109">
        <f t="shared" si="51"/>
        <v>2.0000001532025635E-3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-9.9999969825148582E-4</v>
      </c>
      <c r="I624" s="121" t="s">
        <v>103</v>
      </c>
      <c r="J624" s="109">
        <f t="shared" si="51"/>
        <v>9.9999969825148582E-4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8170.32</v>
      </c>
      <c r="H625" s="109">
        <f>I476</f>
        <v>8170.3199999999779</v>
      </c>
      <c r="I625" s="121" t="s">
        <v>104</v>
      </c>
      <c r="J625" s="109">
        <f t="shared" si="51"/>
        <v>2.1827872842550278E-11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982978.69</v>
      </c>
      <c r="H626" s="109">
        <f>J476</f>
        <v>982978.69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42959017.25</v>
      </c>
      <c r="H627" s="104">
        <f>SUM(F468)</f>
        <v>42959017.25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1358304.63</v>
      </c>
      <c r="H628" s="104">
        <f>SUM(G468)</f>
        <v>1358304.63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1222985.9000000001</v>
      </c>
      <c r="H629" s="104">
        <f>SUM(H468)</f>
        <v>1222985.9000000001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18.649999999999999</v>
      </c>
      <c r="H630" s="104">
        <f>SUM(I468)</f>
        <v>18.649999999999999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250065.56</v>
      </c>
      <c r="H631" s="104">
        <f>SUM(J468)</f>
        <v>250065.56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43038213.467760965</v>
      </c>
      <c r="H632" s="104">
        <f>SUM(F472)</f>
        <v>43038213.467760965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1223535.9009999998</v>
      </c>
      <c r="H633" s="104">
        <f>SUM(H472)</f>
        <v>1223535.9009999998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505413.12</v>
      </c>
      <c r="H634" s="104">
        <f>I369</f>
        <v>505413.12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1315368.7820000001</v>
      </c>
      <c r="H635" s="104">
        <f>SUM(G472)</f>
        <v>1315368.7820000001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227799.1</v>
      </c>
      <c r="H636" s="104">
        <f>SUM(I472)</f>
        <v>227799.1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250065.56</v>
      </c>
      <c r="H637" s="164">
        <f>SUM(J468)</f>
        <v>250065.56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396177.41</v>
      </c>
      <c r="H639" s="104">
        <f>SUM(F461)</f>
        <v>396177.41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586801.28</v>
      </c>
      <c r="H640" s="104">
        <f>SUM(G461)</f>
        <v>586801.28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982978.69</v>
      </c>
      <c r="H642" s="104">
        <f>SUM(I461)</f>
        <v>982978.69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65.56</v>
      </c>
      <c r="H644" s="104">
        <f>H408</f>
        <v>65.56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250000</v>
      </c>
      <c r="H645" s="104">
        <f>G408</f>
        <v>250000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250065.56</v>
      </c>
      <c r="H646" s="104">
        <f>L408</f>
        <v>250065.56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2552986.3613999998</v>
      </c>
      <c r="H647" s="104">
        <f>L208+L226+L244</f>
        <v>2552985.56</v>
      </c>
      <c r="I647" s="140" t="s">
        <v>397</v>
      </c>
      <c r="J647" s="109">
        <f t="shared" si="51"/>
        <v>0.8013999997638166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536562.83000000007</v>
      </c>
      <c r="H648" s="104">
        <f>(J257+J338)-(J255+J336)</f>
        <v>536562.83000000007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874486.59239999996</v>
      </c>
      <c r="H649" s="104">
        <f>H598</f>
        <v>874486.58840000001</v>
      </c>
      <c r="I649" s="140" t="s">
        <v>389</v>
      </c>
      <c r="J649" s="109">
        <f t="shared" si="51"/>
        <v>3.9999999571591616E-3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902551.60059999989</v>
      </c>
      <c r="H650" s="104">
        <f>I598</f>
        <v>902551.60149999999</v>
      </c>
      <c r="I650" s="140" t="s">
        <v>390</v>
      </c>
      <c r="J650" s="109">
        <f t="shared" si="51"/>
        <v>-9.0000010095536709E-4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775947.36699999997</v>
      </c>
      <c r="H651" s="104">
        <f>J598</f>
        <v>775948.17150000005</v>
      </c>
      <c r="I651" s="140" t="s">
        <v>391</v>
      </c>
      <c r="J651" s="109">
        <f t="shared" si="51"/>
        <v>-0.80450000008568168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361910.12</v>
      </c>
      <c r="H652" s="104">
        <f>K263+K345</f>
        <v>361910.12000000005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250000</v>
      </c>
      <c r="H655" s="104">
        <f>K266+K347</f>
        <v>250000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7.6095759868621826E-4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15928963.9455056</v>
      </c>
      <c r="G660" s="19">
        <f>(L229+L309+L359)</f>
        <v>12278457.221828168</v>
      </c>
      <c r="H660" s="19">
        <f>(L247+L328+L360)</f>
        <v>16220590.1034272</v>
      </c>
      <c r="I660" s="19">
        <f>SUM(F660:H660)</f>
        <v>44428011.270760968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113425.84766045141</v>
      </c>
      <c r="G661" s="19">
        <f>(L359/IF(SUM(L358:L360)=0,1,SUM(L358:L360))*(SUM(G97:G110)))</f>
        <v>212819.32625859443</v>
      </c>
      <c r="H661" s="19">
        <f>(L360/IF(SUM(L358:L360)=0,1,SUM(L358:L360))*(SUM(G97:G110)))</f>
        <v>217579.52608095418</v>
      </c>
      <c r="I661" s="19">
        <f>SUM(F661:H661)</f>
        <v>543824.69999999995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878090.19239999994</v>
      </c>
      <c r="G662" s="19">
        <f>(L226+L306)-(J226+J306)</f>
        <v>905955.00059999991</v>
      </c>
      <c r="H662" s="19">
        <f>(L244+L325)-(J244+J325)</f>
        <v>778950.36699999997</v>
      </c>
      <c r="I662" s="19">
        <f>SUM(F662:H662)</f>
        <v>2562995.56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355410.55550000002</v>
      </c>
      <c r="G663" s="199">
        <f>SUM(G575:G587)+SUM(I602:I604)+L612</f>
        <v>480025.78769999999</v>
      </c>
      <c r="H663" s="199">
        <f>SUM(H575:H587)+SUM(J602:J604)+L613</f>
        <v>1346205.7068</v>
      </c>
      <c r="I663" s="19">
        <f>SUM(F663:H663)</f>
        <v>2181642.0499999998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14582037.349945148</v>
      </c>
      <c r="G664" s="19">
        <f>G660-SUM(G661:G663)</f>
        <v>10679657.107269574</v>
      </c>
      <c r="H664" s="19">
        <f>H660-SUM(H661:H663)</f>
        <v>13877854.503546245</v>
      </c>
      <c r="I664" s="19">
        <f>I660-SUM(I661:I663)</f>
        <v>39139548.960760966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807.23</v>
      </c>
      <c r="G665" s="248">
        <v>672.07</v>
      </c>
      <c r="H665" s="248">
        <v>849.81</v>
      </c>
      <c r="I665" s="19">
        <f>SUM(F665:H665)</f>
        <v>2329.11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18064.29</v>
      </c>
      <c r="G667" s="19">
        <f>ROUND(G664/G665,2)</f>
        <v>15890.69</v>
      </c>
      <c r="H667" s="19">
        <f>ROUND(H664/H665,2)</f>
        <v>16330.54</v>
      </c>
      <c r="I667" s="19">
        <f>ROUND(I664/I665,2)</f>
        <v>16804.509999999998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-0.15</v>
      </c>
      <c r="I670" s="19">
        <f>SUM(F670:H670)</f>
        <v>-0.15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18064.29</v>
      </c>
      <c r="G672" s="19">
        <f>ROUND((G664+G669)/(G665+G670),2)</f>
        <v>15890.69</v>
      </c>
      <c r="H672" s="19">
        <f>ROUND((H664+H669)/(H665+H670),2)</f>
        <v>16333.42</v>
      </c>
      <c r="I672" s="19">
        <f>ROUND((I664+I669)/(I665+I670),2)</f>
        <v>16805.59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ConVall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9555176.1910000015</v>
      </c>
      <c r="C9" s="229">
        <f>'DOE25'!G197+'DOE25'!G215+'DOE25'!G233+'DOE25'!G276+'DOE25'!G295+'DOE25'!G314</f>
        <v>5699654.1963520003</v>
      </c>
    </row>
    <row r="10" spans="1:3" x14ac:dyDescent="0.2">
      <c r="A10" t="s">
        <v>779</v>
      </c>
      <c r="B10" s="240">
        <f>8207747.52+40500+323478.53+20500+269921.92+1155+14417.25+133144.5</f>
        <v>9010864.7199999988</v>
      </c>
      <c r="C10" s="240">
        <f>5518471.55</f>
        <v>5518471.5499999998</v>
      </c>
    </row>
    <row r="11" spans="1:3" x14ac:dyDescent="0.2">
      <c r="A11" t="s">
        <v>780</v>
      </c>
      <c r="B11" s="240">
        <f>360071.56</f>
        <v>360071.56</v>
      </c>
      <c r="C11" s="240">
        <v>142491.4</v>
      </c>
    </row>
    <row r="12" spans="1:3" x14ac:dyDescent="0.2">
      <c r="A12" t="s">
        <v>781</v>
      </c>
      <c r="B12" s="240">
        <f>184239.91</f>
        <v>184239.91</v>
      </c>
      <c r="C12" s="240">
        <f>38691.25</f>
        <v>38691.25</v>
      </c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9555176.1899999995</v>
      </c>
      <c r="C13" s="231">
        <f>SUM(C10:C12)</f>
        <v>5699654.2000000002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4553929.1800000006</v>
      </c>
      <c r="C18" s="229">
        <f>'DOE25'!G198+'DOE25'!G216+'DOE25'!G234+'DOE25'!G277+'DOE25'!G296+'DOE25'!G315</f>
        <v>2895946.869293001</v>
      </c>
    </row>
    <row r="19" spans="1:3" x14ac:dyDescent="0.2">
      <c r="A19" t="s">
        <v>779</v>
      </c>
      <c r="B19" s="240">
        <f>2449725.88+305570.93</f>
        <v>2755296.81</v>
      </c>
      <c r="C19" s="240">
        <f>942130.23+36620.31+33279.12+22186.08+578612.33+259367.12</f>
        <v>1872195.19</v>
      </c>
    </row>
    <row r="20" spans="1:3" x14ac:dyDescent="0.2">
      <c r="A20" t="s">
        <v>780</v>
      </c>
      <c r="B20" s="240">
        <f>1243553.45+456759.58+98319.34</f>
        <v>1798632.37</v>
      </c>
      <c r="C20" s="240">
        <f>764384.57+259367.11</f>
        <v>1023751.6799999999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4553929.18</v>
      </c>
      <c r="C22" s="231">
        <f>SUM(C19:C21)</f>
        <v>2895946.87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712439.58000000007</v>
      </c>
      <c r="C27" s="234">
        <f>'DOE25'!G199+'DOE25'!G217+'DOE25'!G235+'DOE25'!G278+'DOE25'!G297+'DOE25'!G316</f>
        <v>375401.54239799996</v>
      </c>
    </row>
    <row r="28" spans="1:3" x14ac:dyDescent="0.2">
      <c r="A28" t="s">
        <v>779</v>
      </c>
      <c r="B28" s="240">
        <f>712439.58</f>
        <v>712439.58</v>
      </c>
      <c r="C28" s="240">
        <f>375401.54</f>
        <v>375401.54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Error</v>
      </c>
      <c r="B31" s="231">
        <f>SUM(B28:B30)</f>
        <v>712439.58</v>
      </c>
      <c r="C31" s="231">
        <f>SUM(C28:C30)</f>
        <v>375401.54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423473.05</v>
      </c>
      <c r="C36" s="235">
        <f>'DOE25'!G200+'DOE25'!G218+'DOE25'!G236+'DOE25'!G279+'DOE25'!G298+'DOE25'!G317</f>
        <v>121441.782886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423473.05</f>
        <v>423473.05</v>
      </c>
      <c r="C39" s="240">
        <f>121441.78</f>
        <v>121441.78</v>
      </c>
    </row>
    <row r="40" spans="1:3" x14ac:dyDescent="0.2">
      <c r="A40" t="str">
        <f>IF(B36=B40,IF(C36=C40,"Check Total OK","Check Total Error"),"Check Total Error")</f>
        <v>Check Total Error</v>
      </c>
      <c r="B40" s="231">
        <f>SUM(B37:B39)</f>
        <v>423473.05</v>
      </c>
      <c r="C40" s="231">
        <f>SUM(C37:C39)</f>
        <v>121441.78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activeCell="E38" sqref="E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ConVall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26181055.224629</v>
      </c>
      <c r="D5" s="20">
        <f>SUM('DOE25'!L197:L200)+SUM('DOE25'!L215:L218)+SUM('DOE25'!L233:L236)-F5-G5</f>
        <v>25781605.794629</v>
      </c>
      <c r="E5" s="243"/>
      <c r="F5" s="255">
        <f>SUM('DOE25'!J197:J200)+SUM('DOE25'!J215:J218)+SUM('DOE25'!J233:J236)</f>
        <v>315519.83</v>
      </c>
      <c r="G5" s="53">
        <f>SUM('DOE25'!K197:K200)+SUM('DOE25'!K215:K218)+SUM('DOE25'!K233:K236)</f>
        <v>83929.599999999991</v>
      </c>
      <c r="H5" s="259"/>
    </row>
    <row r="6" spans="1:9" x14ac:dyDescent="0.2">
      <c r="A6" s="32">
        <v>2100</v>
      </c>
      <c r="B6" t="s">
        <v>801</v>
      </c>
      <c r="C6" s="245">
        <f t="shared" si="0"/>
        <v>2334757.55440492</v>
      </c>
      <c r="D6" s="20">
        <f>'DOE25'!L202+'DOE25'!L220+'DOE25'!L238-F6-G6</f>
        <v>2317449.7944049202</v>
      </c>
      <c r="E6" s="243"/>
      <c r="F6" s="255">
        <f>'DOE25'!J202+'DOE25'!J220+'DOE25'!J238</f>
        <v>15238.26</v>
      </c>
      <c r="G6" s="53">
        <f>'DOE25'!K202+'DOE25'!K220+'DOE25'!K238</f>
        <v>2069.5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1192781.2462800499</v>
      </c>
      <c r="D7" s="20">
        <f>'DOE25'!L203+'DOE25'!L221+'DOE25'!L239-F7-G7</f>
        <v>1185441.38628005</v>
      </c>
      <c r="E7" s="243"/>
      <c r="F7" s="255">
        <f>'DOE25'!J203+'DOE25'!J221+'DOE25'!J239</f>
        <v>6497.47</v>
      </c>
      <c r="G7" s="53">
        <f>'DOE25'!K203+'DOE25'!K221+'DOE25'!K239</f>
        <v>842.39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1127660.3568759998</v>
      </c>
      <c r="D8" s="243"/>
      <c r="E8" s="20">
        <f>'DOE25'!L204+'DOE25'!L222+'DOE25'!L240-F8-G8-D9-D11</f>
        <v>1104646.5473759999</v>
      </c>
      <c r="F8" s="255">
        <f>'DOE25'!J204+'DOE25'!J222+'DOE25'!J240</f>
        <v>0</v>
      </c>
      <c r="G8" s="53">
        <f>'DOE25'!K204+'DOE25'!K222+'DOE25'!K240</f>
        <v>23013.809499999996</v>
      </c>
      <c r="H8" s="259"/>
    </row>
    <row r="9" spans="1:9" x14ac:dyDescent="0.2">
      <c r="A9" s="32">
        <v>2310</v>
      </c>
      <c r="B9" t="s">
        <v>818</v>
      </c>
      <c r="C9" s="245">
        <f t="shared" si="0"/>
        <v>306894.14</v>
      </c>
      <c r="D9" s="244">
        <v>306894.14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23420</v>
      </c>
      <c r="D10" s="243"/>
      <c r="E10" s="244">
        <v>23420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421233.31000000006</v>
      </c>
      <c r="D11" s="244">
        <f>115291.66+39687.14+140000+43355.97+55103.89+27794.65</f>
        <v>421233.31000000006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3191254.4000030002</v>
      </c>
      <c r="D12" s="20">
        <f>'DOE25'!L205+'DOE25'!L223+'DOE25'!L241-F12-G12</f>
        <v>3108756.180003</v>
      </c>
      <c r="E12" s="243"/>
      <c r="F12" s="255">
        <f>'DOE25'!J205+'DOE25'!J223+'DOE25'!J241</f>
        <v>14211.77</v>
      </c>
      <c r="G12" s="53">
        <f>'DOE25'!K205+'DOE25'!K223+'DOE25'!K241</f>
        <v>68286.45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30132.42</v>
      </c>
      <c r="D13" s="243"/>
      <c r="E13" s="20">
        <f>'DOE25'!L206+'DOE25'!L224+'DOE25'!L242-F13-G13</f>
        <v>30132.42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4572162.5955680003</v>
      </c>
      <c r="D14" s="20">
        <f>'DOE25'!L207+'DOE25'!L225+'DOE25'!L243-F14-G14</f>
        <v>4444336.5155680003</v>
      </c>
      <c r="E14" s="243"/>
      <c r="F14" s="255">
        <f>'DOE25'!J207+'DOE25'!J225+'DOE25'!J243</f>
        <v>127826.08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2552985.56</v>
      </c>
      <c r="D15" s="20">
        <f>'DOE25'!L208+'DOE25'!L226+'DOE25'!L244-F15-G15</f>
        <v>2552985.56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11433.41</v>
      </c>
      <c r="D16" s="243"/>
      <c r="E16" s="20">
        <f>'DOE25'!L209+'DOE25'!L227+'DOE25'!L245-F16-G16</f>
        <v>11433.41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503953.13</v>
      </c>
      <c r="D25" s="243"/>
      <c r="E25" s="243"/>
      <c r="F25" s="258"/>
      <c r="G25" s="256"/>
      <c r="H25" s="257">
        <f>'DOE25'!L260+'DOE25'!L261+'DOE25'!L341+'DOE25'!L342</f>
        <v>503953.13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851140.43200000015</v>
      </c>
      <c r="D29" s="20">
        <f>'DOE25'!L358+'DOE25'!L359+'DOE25'!L360-'DOE25'!I367-F29-G29</f>
        <v>847633.69200000016</v>
      </c>
      <c r="E29" s="243"/>
      <c r="F29" s="255">
        <f>'DOE25'!J358+'DOE25'!J359+'DOE25'!J360</f>
        <v>0</v>
      </c>
      <c r="G29" s="53">
        <f>'DOE25'!K358+'DOE25'!K359+'DOE25'!K360</f>
        <v>3506.74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1203648.4009999998</v>
      </c>
      <c r="D31" s="20">
        <f>'DOE25'!L290+'DOE25'!L309+'DOE25'!L328+'DOE25'!L333+'DOE25'!L334+'DOE25'!L335-F31-G31</f>
        <v>1093078.4309999999</v>
      </c>
      <c r="E31" s="243"/>
      <c r="F31" s="255">
        <f>'DOE25'!J290+'DOE25'!J309+'DOE25'!J328+'DOE25'!J333+'DOE25'!J334+'DOE25'!J335</f>
        <v>57269.42</v>
      </c>
      <c r="G31" s="53">
        <f>'DOE25'!K290+'DOE25'!K309+'DOE25'!K328+'DOE25'!K333+'DOE25'!K334+'DOE25'!K335</f>
        <v>53300.55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42059414.803884976</v>
      </c>
      <c r="E33" s="246">
        <f>SUM(E5:E31)</f>
        <v>1169632.3773759997</v>
      </c>
      <c r="F33" s="246">
        <f>SUM(F5:F31)</f>
        <v>536562.83000000007</v>
      </c>
      <c r="G33" s="246">
        <f>SUM(G5:G31)</f>
        <v>234949.03949999996</v>
      </c>
      <c r="H33" s="246">
        <f>SUM(H5:H31)</f>
        <v>503953.13</v>
      </c>
    </row>
    <row r="35" spans="2:8" ht="12" thickBot="1" x14ac:dyDescent="0.25">
      <c r="B35" s="253" t="s">
        <v>847</v>
      </c>
      <c r="D35" s="254">
        <f>E33</f>
        <v>1169632.3773759997</v>
      </c>
      <c r="E35" s="249"/>
    </row>
    <row r="36" spans="2:8" ht="12" thickTop="1" x14ac:dyDescent="0.2">
      <c r="B36" t="s">
        <v>815</v>
      </c>
      <c r="D36" s="20">
        <f>D33</f>
        <v>42059414.803884976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ConVall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1698521.58</v>
      </c>
      <c r="D8" s="95">
        <f>'DOE25'!G9</f>
        <v>18463.72</v>
      </c>
      <c r="E8" s="95">
        <f>'DOE25'!H9</f>
        <v>0</v>
      </c>
      <c r="F8" s="95">
        <f>'DOE25'!I9</f>
        <v>102.12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5811.82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982978.69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425753.63</v>
      </c>
      <c r="D11" s="95">
        <f>'DOE25'!G12</f>
        <v>0</v>
      </c>
      <c r="E11" s="95">
        <f>'DOE25'!H12</f>
        <v>0</v>
      </c>
      <c r="F11" s="95">
        <f>'DOE25'!I12</f>
        <v>8068.2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32127.1</v>
      </c>
      <c r="E12" s="95">
        <f>'DOE25'!H13</f>
        <v>220710.71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98183.86</v>
      </c>
      <c r="D13" s="95">
        <f>'DOE25'!G14</f>
        <v>19426.55</v>
      </c>
      <c r="E13" s="95" t="str">
        <f>'DOE25'!H14</f>
        <v>.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30993.87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27643.82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2255914.71</v>
      </c>
      <c r="D18" s="41">
        <f>SUM(D8:D17)</f>
        <v>101011.23999999999</v>
      </c>
      <c r="E18" s="41">
        <f>SUM(E8:E17)</f>
        <v>220710.71</v>
      </c>
      <c r="F18" s="41">
        <f>SUM(F8:F17)</f>
        <v>8170.32</v>
      </c>
      <c r="G18" s="41">
        <f>SUM(G8:G17)</f>
        <v>982978.69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412371.08</v>
      </c>
      <c r="D21" s="95">
        <f>'DOE25'!G22</f>
        <v>204312.8</v>
      </c>
      <c r="E21" s="95">
        <f>'DOE25'!H22</f>
        <v>220710.71000000002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48044.61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208925.12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669340.81000000006</v>
      </c>
      <c r="D31" s="41">
        <f>SUM(D21:D30)</f>
        <v>204312.8</v>
      </c>
      <c r="E31" s="41">
        <f>SUM(E21:E30)</f>
        <v>220710.71000000002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30993.87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27643.82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-134295.43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982978.69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577361.17999999993</v>
      </c>
      <c r="D48" s="95">
        <f>'DOE25'!G49</f>
        <v>0</v>
      </c>
      <c r="E48" s="95">
        <f>'DOE25'!H49</f>
        <v>0</v>
      </c>
      <c r="F48" s="95">
        <f>'DOE25'!I49</f>
        <v>8170.32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681568.89999999991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1586573.9</v>
      </c>
      <c r="D50" s="41">
        <f>SUM(D34:D49)</f>
        <v>-103301.56</v>
      </c>
      <c r="E50" s="41">
        <f>SUM(E34:E49)</f>
        <v>0</v>
      </c>
      <c r="F50" s="41">
        <f>SUM(F34:F49)</f>
        <v>8170.32</v>
      </c>
      <c r="G50" s="41">
        <f>SUM(G34:G49)</f>
        <v>982978.69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2255914.71</v>
      </c>
      <c r="D51" s="41">
        <f>D50+D31</f>
        <v>101011.23999999999</v>
      </c>
      <c r="E51" s="41">
        <f>E50+E31</f>
        <v>220710.71000000002</v>
      </c>
      <c r="F51" s="41">
        <f>F50+F31</f>
        <v>8170.32</v>
      </c>
      <c r="G51" s="41">
        <f>G50+G31</f>
        <v>982978.69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28275636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161386.21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4607.55</v>
      </c>
      <c r="D59" s="95">
        <f>'DOE25'!G96</f>
        <v>78.819999999999993</v>
      </c>
      <c r="E59" s="95">
        <f>'DOE25'!H96</f>
        <v>0</v>
      </c>
      <c r="F59" s="95">
        <f>'DOE25'!I96</f>
        <v>18.649999999999999</v>
      </c>
      <c r="G59" s="95">
        <f>'DOE25'!J96</f>
        <v>65.56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521877.98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270673.59999999998</v>
      </c>
      <c r="D61" s="95">
        <f>SUM('DOE25'!G98:G110)</f>
        <v>21946.720000000001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436667.36</v>
      </c>
      <c r="D62" s="130">
        <f>SUM(D57:D61)</f>
        <v>543903.52</v>
      </c>
      <c r="E62" s="130">
        <f>SUM(E57:E61)</f>
        <v>0</v>
      </c>
      <c r="F62" s="130">
        <f>SUM(F57:F61)</f>
        <v>18.649999999999999</v>
      </c>
      <c r="G62" s="130">
        <f>SUM(G57:G61)</f>
        <v>65.56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28712303.359999999</v>
      </c>
      <c r="D63" s="22">
        <f>D56+D62</f>
        <v>543903.52</v>
      </c>
      <c r="E63" s="22">
        <f>E56+E62</f>
        <v>0</v>
      </c>
      <c r="F63" s="22">
        <f>F56+F62</f>
        <v>18.649999999999999</v>
      </c>
      <c r="G63" s="22">
        <f>G56+G62</f>
        <v>65.56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7815931.7199999997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4829305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12645236.719999999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558186.76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528345.75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95681.45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11418.35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1182213.96</v>
      </c>
      <c r="D78" s="130">
        <f>SUM(D72:D77)</f>
        <v>11418.35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13827450.68</v>
      </c>
      <c r="D81" s="130">
        <f>SUM(D79:D80)+D78+D70</f>
        <v>11418.35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419263.21</v>
      </c>
      <c r="D88" s="95">
        <f>SUM('DOE25'!G153:G161)</f>
        <v>441072.63999999996</v>
      </c>
      <c r="E88" s="95">
        <f>SUM('DOE25'!H153:H161)</f>
        <v>1222985.9000000001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419263.21</v>
      </c>
      <c r="D91" s="131">
        <f>SUM(D85:D90)</f>
        <v>441072.63999999996</v>
      </c>
      <c r="E91" s="131">
        <f>SUM(E85:E90)</f>
        <v>1222985.9000000001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361910.12</v>
      </c>
      <c r="E96" s="95">
        <f>'DOE25'!H179</f>
        <v>0</v>
      </c>
      <c r="F96" s="95">
        <f>'DOE25'!I179</f>
        <v>0</v>
      </c>
      <c r="G96" s="95">
        <f>'DOE25'!J179</f>
        <v>250000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361910.12</v>
      </c>
      <c r="E103" s="86">
        <f>SUM(E93:E102)</f>
        <v>0</v>
      </c>
      <c r="F103" s="86">
        <f>SUM(F93:F102)</f>
        <v>0</v>
      </c>
      <c r="G103" s="86">
        <f>SUM(G93:G102)</f>
        <v>250000</v>
      </c>
    </row>
    <row r="104" spans="1:7" ht="12.75" thickTop="1" thickBot="1" x14ac:dyDescent="0.25">
      <c r="A104" s="33" t="s">
        <v>765</v>
      </c>
      <c r="C104" s="86">
        <f>C63+C81+C91+C103</f>
        <v>42959017.25</v>
      </c>
      <c r="D104" s="86">
        <f>D63+D81+D91+D103</f>
        <v>1358304.63</v>
      </c>
      <c r="E104" s="86">
        <f>E63+E81+E91+E103</f>
        <v>1222985.9000000001</v>
      </c>
      <c r="F104" s="86">
        <f>F63+F81+F91+F103</f>
        <v>18.649999999999999</v>
      </c>
      <c r="G104" s="86">
        <f>G63+G81+G103</f>
        <v>250065.56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15595822.636351999</v>
      </c>
      <c r="D109" s="24" t="s">
        <v>289</v>
      </c>
      <c r="E109" s="95">
        <f>('DOE25'!L276)+('DOE25'!L295)+('DOE25'!L314)</f>
        <v>578600.63260000001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8618892.2029930018</v>
      </c>
      <c r="D110" s="24" t="s">
        <v>289</v>
      </c>
      <c r="E110" s="95">
        <f>('DOE25'!L277)+('DOE25'!L296)+('DOE25'!L315)</f>
        <v>444046.02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1155606.7823979999</v>
      </c>
      <c r="D111" s="24" t="s">
        <v>289</v>
      </c>
      <c r="E111" s="95">
        <f>('DOE25'!L278)+('DOE25'!L297)+('DOE25'!L316)</f>
        <v>68214.06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810733.60288599995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13356.130000000001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26181055.224629</v>
      </c>
      <c r="D115" s="86">
        <f>SUM(D109:D114)</f>
        <v>0</v>
      </c>
      <c r="E115" s="86">
        <f>SUM(E109:E114)</f>
        <v>1104216.8425999999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2334757.55440492</v>
      </c>
      <c r="D118" s="24" t="s">
        <v>289</v>
      </c>
      <c r="E118" s="95">
        <f>+('DOE25'!L281)+('DOE25'!L300)+('DOE25'!L319)</f>
        <v>18985.339999999997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1192781.2462800499</v>
      </c>
      <c r="D119" s="24" t="s">
        <v>289</v>
      </c>
      <c r="E119" s="95">
        <f>+('DOE25'!L282)+('DOE25'!L301)+('DOE25'!L320)</f>
        <v>56906.448400000001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1855787.806876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3191254.4000030002</v>
      </c>
      <c r="D121" s="24" t="s">
        <v>289</v>
      </c>
      <c r="E121" s="95">
        <f>+('DOE25'!L284)+('DOE25'!L303)+('DOE25'!L322)</f>
        <v>13529.77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30132.42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4572162.5955680003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2552985.56</v>
      </c>
      <c r="D124" s="24" t="s">
        <v>289</v>
      </c>
      <c r="E124" s="95">
        <f>+('DOE25'!L287)+('DOE25'!L306)+('DOE25'!L325)</f>
        <v>10010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11433.41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1315368.7820000001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15741294.993131971</v>
      </c>
      <c r="D128" s="86">
        <f>SUM(D118:D127)</f>
        <v>1315368.7820000001</v>
      </c>
      <c r="E128" s="86">
        <f>SUM(E118:E127)</f>
        <v>99431.558399999994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227799.1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360000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143953.13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19887.5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361910.12000000005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250065.56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-65.559999999997672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1115863.25</v>
      </c>
      <c r="D144" s="141">
        <f>SUM(D130:D143)</f>
        <v>0</v>
      </c>
      <c r="E144" s="141">
        <f>SUM(E130:E143)</f>
        <v>19887.5</v>
      </c>
      <c r="F144" s="141">
        <f>SUM(F130:F143)</f>
        <v>227799.1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43038213.467760973</v>
      </c>
      <c r="D145" s="86">
        <f>(D115+D128+D144)</f>
        <v>1315368.7820000001</v>
      </c>
      <c r="E145" s="86">
        <f>(E115+E128+E144)</f>
        <v>1223535.9009999998</v>
      </c>
      <c r="F145" s="86">
        <f>(F115+F128+F144)</f>
        <v>227799.1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2013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02/2023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3575000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1.69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3575000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3575000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360000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360000</v>
      </c>
    </row>
    <row r="159" spans="1:9" x14ac:dyDescent="0.2">
      <c r="A159" s="22" t="s">
        <v>35</v>
      </c>
      <c r="B159" s="137">
        <f>'DOE25'!F498</f>
        <v>3215000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3215000</v>
      </c>
    </row>
    <row r="160" spans="1:9" x14ac:dyDescent="0.2">
      <c r="A160" s="22" t="s">
        <v>36</v>
      </c>
      <c r="B160" s="137">
        <f>'DOE25'!F499</f>
        <v>652725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652725</v>
      </c>
    </row>
    <row r="161" spans="1:7" x14ac:dyDescent="0.2">
      <c r="A161" s="22" t="s">
        <v>37</v>
      </c>
      <c r="B161" s="137">
        <f>'DOE25'!F500</f>
        <v>3867725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3867725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G29" sqref="G2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ConVall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18064</v>
      </c>
    </row>
    <row r="5" spans="1:4" x14ac:dyDescent="0.2">
      <c r="B5" t="s">
        <v>704</v>
      </c>
      <c r="C5" s="179">
        <f>IF('DOE25'!G665+'DOE25'!G670=0,0,ROUND('DOE25'!G672,0))</f>
        <v>15891</v>
      </c>
    </row>
    <row r="6" spans="1:4" x14ac:dyDescent="0.2">
      <c r="B6" t="s">
        <v>62</v>
      </c>
      <c r="C6" s="179">
        <f>IF('DOE25'!H665+'DOE25'!H670=0,0,ROUND('DOE25'!H672,0))</f>
        <v>16333</v>
      </c>
    </row>
    <row r="7" spans="1:4" x14ac:dyDescent="0.2">
      <c r="B7" t="s">
        <v>705</v>
      </c>
      <c r="C7" s="179">
        <f>IF('DOE25'!I665+'DOE25'!I670=0,0,ROUND('DOE25'!I672,0))</f>
        <v>16806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16174423</v>
      </c>
      <c r="D10" s="182">
        <f>ROUND((C10/$C$28)*100,1)</f>
        <v>36.700000000000003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9062938</v>
      </c>
      <c r="D11" s="182">
        <f>ROUND((C11/$C$28)*100,1)</f>
        <v>20.6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1223821</v>
      </c>
      <c r="D12" s="182">
        <f>ROUND((C12/$C$28)*100,1)</f>
        <v>2.8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810734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2353743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1249688</v>
      </c>
      <c r="D16" s="182">
        <f t="shared" si="0"/>
        <v>2.8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1867221</v>
      </c>
      <c r="D17" s="182">
        <f t="shared" si="0"/>
        <v>4.2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3204784</v>
      </c>
      <c r="D18" s="182">
        <f t="shared" si="0"/>
        <v>7.3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30132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4572163</v>
      </c>
      <c r="D20" s="182">
        <f t="shared" si="0"/>
        <v>10.4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2562996</v>
      </c>
      <c r="D21" s="182">
        <f t="shared" si="0"/>
        <v>5.8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13356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143953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771544.29999999993</v>
      </c>
      <c r="D27" s="182">
        <f t="shared" si="0"/>
        <v>1.8</v>
      </c>
    </row>
    <row r="28" spans="1:4" x14ac:dyDescent="0.2">
      <c r="B28" s="187" t="s">
        <v>723</v>
      </c>
      <c r="C28" s="180">
        <f>SUM(C10:C27)</f>
        <v>44041496.299999997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227799</v>
      </c>
    </row>
    <row r="30" spans="1:4" x14ac:dyDescent="0.2">
      <c r="B30" s="187" t="s">
        <v>729</v>
      </c>
      <c r="C30" s="180">
        <f>SUM(C28:C29)</f>
        <v>44269295.299999997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360000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28275636</v>
      </c>
      <c r="D35" s="182">
        <f t="shared" ref="D35:D40" si="1">ROUND((C35/$C$41)*100,1)</f>
        <v>63.3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436830.38999999687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12645237</v>
      </c>
      <c r="D37" s="182">
        <f t="shared" si="1"/>
        <v>28.3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1193632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2083322</v>
      </c>
      <c r="D39" s="182">
        <f t="shared" si="1"/>
        <v>4.7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44634657.390000001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ConVall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 t="s">
        <v>914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2014-09-29T17:19:20Z</cp:lastPrinted>
  <dcterms:created xsi:type="dcterms:W3CDTF">1997-12-04T19:04:30Z</dcterms:created>
  <dcterms:modified xsi:type="dcterms:W3CDTF">2014-12-05T15:58:55Z</dcterms:modified>
</cp:coreProperties>
</file>