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31" i="1" l="1"/>
  <c r="C10" i="12"/>
  <c r="B10" i="12"/>
  <c r="H197" i="1"/>
  <c r="L197" i="1" s="1"/>
  <c r="G197" i="1"/>
  <c r="F197" i="1"/>
  <c r="F211" i="1" s="1"/>
  <c r="G233" i="1"/>
  <c r="F233" i="1"/>
  <c r="G215" i="1"/>
  <c r="F215" i="1"/>
  <c r="H208" i="1"/>
  <c r="L208" i="1" s="1"/>
  <c r="G208" i="1"/>
  <c r="F208" i="1"/>
  <c r="G48" i="1"/>
  <c r="F9" i="1"/>
  <c r="C45" i="2"/>
  <c r="F51" i="1"/>
  <c r="G622" i="1" s="1"/>
  <c r="C37" i="10"/>
  <c r="F40" i="2"/>
  <c r="D39" i="2"/>
  <c r="G655" i="1"/>
  <c r="F48" i="2"/>
  <c r="E48" i="2"/>
  <c r="D48" i="2"/>
  <c r="C48" i="2"/>
  <c r="F47" i="2"/>
  <c r="F50" i="2" s="1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E16" i="13"/>
  <c r="C16" i="13" s="1"/>
  <c r="F5" i="13"/>
  <c r="G5" i="13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/>
  <c r="L326" i="1"/>
  <c r="L333" i="1"/>
  <c r="L334" i="1"/>
  <c r="E114" i="2" s="1"/>
  <c r="L335" i="1"/>
  <c r="L260" i="1"/>
  <c r="L261" i="1"/>
  <c r="C25" i="10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A31" i="12" s="1"/>
  <c r="B31" i="12"/>
  <c r="C31" i="12"/>
  <c r="B13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7" i="1" s="1"/>
  <c r="L404" i="1"/>
  <c r="L405" i="1"/>
  <c r="L406" i="1"/>
  <c r="L266" i="1"/>
  <c r="J60" i="1"/>
  <c r="G56" i="2" s="1"/>
  <c r="G59" i="2"/>
  <c r="G61" i="2"/>
  <c r="F2" i="11"/>
  <c r="L613" i="1"/>
  <c r="H663" i="1"/>
  <c r="L612" i="1"/>
  <c r="L611" i="1"/>
  <c r="F663" i="1"/>
  <c r="C40" i="10"/>
  <c r="F60" i="1"/>
  <c r="G60" i="1"/>
  <c r="H60" i="1"/>
  <c r="E56" i="2" s="1"/>
  <c r="I60" i="1"/>
  <c r="F56" i="2" s="1"/>
  <c r="F79" i="1"/>
  <c r="F94" i="1"/>
  <c r="C58" i="2"/>
  <c r="F111" i="1"/>
  <c r="G111" i="1"/>
  <c r="G112" i="1" s="1"/>
  <c r="H79" i="1"/>
  <c r="H94" i="1"/>
  <c r="E58" i="2" s="1"/>
  <c r="H111" i="1"/>
  <c r="I111" i="1"/>
  <c r="I112" i="1"/>
  <c r="I193" i="1" s="1"/>
  <c r="G630" i="1" s="1"/>
  <c r="J111" i="1"/>
  <c r="J112" i="1" s="1"/>
  <c r="F121" i="1"/>
  <c r="F136" i="1"/>
  <c r="F140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E85" i="2" s="1"/>
  <c r="H162" i="1"/>
  <c r="I147" i="1"/>
  <c r="I162" i="1"/>
  <c r="L250" i="1"/>
  <c r="C113" i="2" s="1"/>
  <c r="L332" i="1"/>
  <c r="L254" i="1"/>
  <c r="L268" i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/>
  <c r="L522" i="1"/>
  <c r="L524" i="1" s="1"/>
  <c r="F550" i="1"/>
  <c r="L523" i="1"/>
  <c r="F551" i="1"/>
  <c r="L526" i="1"/>
  <c r="G549" i="1"/>
  <c r="L527" i="1"/>
  <c r="G550" i="1"/>
  <c r="L528" i="1"/>
  <c r="G551" i="1"/>
  <c r="L531" i="1"/>
  <c r="H549" i="1"/>
  <c r="L532" i="1"/>
  <c r="L534" i="1" s="1"/>
  <c r="H550" i="1"/>
  <c r="L533" i="1"/>
  <c r="H551" i="1" s="1"/>
  <c r="H552" i="1" s="1"/>
  <c r="L536" i="1"/>
  <c r="I549" i="1"/>
  <c r="L537" i="1"/>
  <c r="I550" i="1" s="1"/>
  <c r="L538" i="1"/>
  <c r="L541" i="1"/>
  <c r="J549" i="1" s="1"/>
  <c r="L542" i="1"/>
  <c r="J550" i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/>
  <c r="C9" i="2"/>
  <c r="D9" i="2"/>
  <c r="E9" i="2"/>
  <c r="F9" i="2"/>
  <c r="I440" i="1"/>
  <c r="J10" i="1" s="1"/>
  <c r="C10" i="2"/>
  <c r="C11" i="2"/>
  <c r="D11" i="2"/>
  <c r="E11" i="2"/>
  <c r="F11" i="2"/>
  <c r="I441" i="1"/>
  <c r="J12" i="1" s="1"/>
  <c r="G11" i="2"/>
  <c r="C12" i="2"/>
  <c r="D12" i="2"/>
  <c r="E12" i="2"/>
  <c r="E18" i="2"/>
  <c r="F12" i="2"/>
  <c r="I442" i="1"/>
  <c r="J13" i="1"/>
  <c r="G12" i="2"/>
  <c r="C13" i="2"/>
  <c r="D13" i="2"/>
  <c r="E13" i="2"/>
  <c r="F13" i="2"/>
  <c r="I443" i="1"/>
  <c r="J14" i="1" s="1"/>
  <c r="G13" i="2"/>
  <c r="F14" i="2"/>
  <c r="C15" i="2"/>
  <c r="D15" i="2"/>
  <c r="E15" i="2"/>
  <c r="F15" i="2"/>
  <c r="C16" i="2"/>
  <c r="D16" i="2"/>
  <c r="E16" i="2"/>
  <c r="F16" i="2"/>
  <c r="I444" i="1"/>
  <c r="J17" i="1" s="1"/>
  <c r="G16" i="2" s="1"/>
  <c r="C17" i="2"/>
  <c r="D17" i="2"/>
  <c r="E17" i="2"/>
  <c r="F17" i="2"/>
  <c r="I445" i="1"/>
  <c r="J18" i="1"/>
  <c r="G17" i="2" s="1"/>
  <c r="C21" i="2"/>
  <c r="D21" i="2"/>
  <c r="D31" i="2" s="1"/>
  <c r="E21" i="2"/>
  <c r="F21" i="2"/>
  <c r="I448" i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/>
  <c r="I459" i="1"/>
  <c r="J48" i="1" s="1"/>
  <c r="G47" i="2" s="1"/>
  <c r="C49" i="2"/>
  <c r="C56" i="2"/>
  <c r="D56" i="2"/>
  <c r="C57" i="2"/>
  <c r="C59" i="2"/>
  <c r="D59" i="2"/>
  <c r="D62" i="2" s="1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/>
  <c r="E69" i="2"/>
  <c r="E70" i="2" s="1"/>
  <c r="F69" i="2"/>
  <c r="F70" i="2"/>
  <c r="G69" i="2"/>
  <c r="G70" i="2" s="1"/>
  <c r="C72" i="2"/>
  <c r="F72" i="2"/>
  <c r="C73" i="2"/>
  <c r="F73" i="2"/>
  <c r="C74" i="2"/>
  <c r="C75" i="2"/>
  <c r="C76" i="2"/>
  <c r="E76" i="2"/>
  <c r="F76" i="2"/>
  <c r="C77" i="2"/>
  <c r="C78" i="2" s="1"/>
  <c r="D77" i="2"/>
  <c r="D78" i="2" s="1"/>
  <c r="D81" i="2" s="1"/>
  <c r="E77" i="2"/>
  <c r="E78" i="2" s="1"/>
  <c r="E81" i="2" s="1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E91" i="2" s="1"/>
  <c r="F89" i="2"/>
  <c r="C90" i="2"/>
  <c r="C93" i="2"/>
  <c r="F93" i="2"/>
  <c r="F103" i="2" s="1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3" i="2"/>
  <c r="D115" i="2"/>
  <c r="F115" i="2"/>
  <c r="G115" i="2"/>
  <c r="E120" i="2"/>
  <c r="E122" i="2"/>
  <c r="F128" i="2"/>
  <c r="G128" i="2"/>
  <c r="C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 s="1"/>
  <c r="L265" i="1"/>
  <c r="C137" i="2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 s="1"/>
  <c r="I500" i="1"/>
  <c r="E161" i="2"/>
  <c r="J500" i="1"/>
  <c r="F161" i="2" s="1"/>
  <c r="B162" i="2"/>
  <c r="C162" i="2"/>
  <c r="G162" i="2" s="1"/>
  <c r="D162" i="2"/>
  <c r="E162" i="2"/>
  <c r="F162" i="2"/>
  <c r="B163" i="2"/>
  <c r="C163" i="2"/>
  <c r="D163" i="2"/>
  <c r="E163" i="2"/>
  <c r="F163" i="2"/>
  <c r="F503" i="1"/>
  <c r="B164" i="2" s="1"/>
  <c r="G503" i="1"/>
  <c r="H503" i="1"/>
  <c r="D164" i="2"/>
  <c r="I503" i="1"/>
  <c r="E164" i="2" s="1"/>
  <c r="J503" i="1"/>
  <c r="F164" i="2"/>
  <c r="F19" i="1"/>
  <c r="G617" i="1" s="1"/>
  <c r="G19" i="1"/>
  <c r="G618" i="1"/>
  <c r="H19" i="1"/>
  <c r="G619" i="1" s="1"/>
  <c r="I19" i="1"/>
  <c r="F32" i="1"/>
  <c r="F52" i="1"/>
  <c r="H617" i="1"/>
  <c r="J617" i="1" s="1"/>
  <c r="G32" i="1"/>
  <c r="H32" i="1"/>
  <c r="I32" i="1"/>
  <c r="I52" i="1" s="1"/>
  <c r="H620" i="1" s="1"/>
  <c r="J620" i="1" s="1"/>
  <c r="H51" i="1"/>
  <c r="I51" i="1"/>
  <c r="F177" i="1"/>
  <c r="F192" i="1" s="1"/>
  <c r="I177" i="1"/>
  <c r="F183" i="1"/>
  <c r="G183" i="1"/>
  <c r="H183" i="1"/>
  <c r="I183" i="1"/>
  <c r="J183" i="1"/>
  <c r="G645" i="1" s="1"/>
  <c r="J192" i="1"/>
  <c r="F188" i="1"/>
  <c r="G188" i="1"/>
  <c r="H188" i="1"/>
  <c r="I188" i="1"/>
  <c r="I211" i="1"/>
  <c r="J211" i="1"/>
  <c r="K211" i="1"/>
  <c r="F229" i="1"/>
  <c r="F257" i="1" s="1"/>
  <c r="F271" i="1" s="1"/>
  <c r="G229" i="1"/>
  <c r="H229" i="1"/>
  <c r="I229" i="1"/>
  <c r="J229" i="1"/>
  <c r="J257" i="1" s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H634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H434" i="1" s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/>
  <c r="J641" i="1" s="1"/>
  <c r="F452" i="1"/>
  <c r="G452" i="1"/>
  <c r="H452" i="1"/>
  <c r="H461" i="1" s="1"/>
  <c r="H641" i="1" s="1"/>
  <c r="F460" i="1"/>
  <c r="F461" i="1"/>
  <c r="H639" i="1" s="1"/>
  <c r="G460" i="1"/>
  <c r="H460" i="1"/>
  <c r="I460" i="1"/>
  <c r="G461" i="1"/>
  <c r="F470" i="1"/>
  <c r="G470" i="1"/>
  <c r="H470" i="1"/>
  <c r="I470" i="1"/>
  <c r="J470" i="1"/>
  <c r="F474" i="1"/>
  <c r="G474" i="1"/>
  <c r="G476" i="1" s="1"/>
  <c r="H623" i="1" s="1"/>
  <c r="H474" i="1"/>
  <c r="H476" i="1" s="1"/>
  <c r="H624" i="1" s="1"/>
  <c r="I474" i="1"/>
  <c r="J474" i="1"/>
  <c r="J47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I545" i="1" s="1"/>
  <c r="J529" i="1"/>
  <c r="K529" i="1"/>
  <c r="F534" i="1"/>
  <c r="F545" i="1" s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G571" i="1" s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/>
  <c r="I598" i="1"/>
  <c r="H650" i="1" s="1"/>
  <c r="J598" i="1"/>
  <c r="H651" i="1"/>
  <c r="J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5" i="1"/>
  <c r="J625" i="1" s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3" i="1"/>
  <c r="H643" i="1"/>
  <c r="G644" i="1"/>
  <c r="G651" i="1"/>
  <c r="G652" i="1"/>
  <c r="H652" i="1"/>
  <c r="G653" i="1"/>
  <c r="H653" i="1"/>
  <c r="G654" i="1"/>
  <c r="H654" i="1"/>
  <c r="H655" i="1"/>
  <c r="C18" i="2"/>
  <c r="D63" i="2"/>
  <c r="G157" i="2"/>
  <c r="F18" i="2"/>
  <c r="D19" i="13"/>
  <c r="C19" i="13"/>
  <c r="K605" i="1"/>
  <c r="G648" i="1"/>
  <c r="I169" i="1"/>
  <c r="H169" i="1"/>
  <c r="J643" i="1"/>
  <c r="H626" i="1"/>
  <c r="I476" i="1"/>
  <c r="H625" i="1"/>
  <c r="J140" i="1"/>
  <c r="F571" i="1"/>
  <c r="G22" i="2"/>
  <c r="C29" i="10"/>
  <c r="H25" i="13"/>
  <c r="C25" i="13"/>
  <c r="H571" i="1"/>
  <c r="G192" i="1"/>
  <c r="H192" i="1"/>
  <c r="C35" i="10"/>
  <c r="J655" i="1"/>
  <c r="L570" i="1"/>
  <c r="L565" i="1"/>
  <c r="H33" i="13"/>
  <c r="F62" i="2"/>
  <c r="F63" i="2"/>
  <c r="C23" i="10"/>
  <c r="G159" i="2"/>
  <c r="G158" i="2"/>
  <c r="G103" i="2"/>
  <c r="E50" i="2"/>
  <c r="C50" i="2"/>
  <c r="C51" i="2" s="1"/>
  <c r="E144" i="2"/>
  <c r="C140" i="2"/>
  <c r="I192" i="1"/>
  <c r="J654" i="1"/>
  <c r="J653" i="1"/>
  <c r="J434" i="1"/>
  <c r="F434" i="1"/>
  <c r="G169" i="1"/>
  <c r="C39" i="10" s="1"/>
  <c r="G140" i="1"/>
  <c r="G42" i="2"/>
  <c r="D103" i="2"/>
  <c r="I140" i="1"/>
  <c r="J652" i="1"/>
  <c r="I434" i="1"/>
  <c r="L544" i="1"/>
  <c r="L529" i="1"/>
  <c r="G552" i="1"/>
  <c r="G545" i="1"/>
  <c r="F552" i="1"/>
  <c r="K549" i="1"/>
  <c r="K500" i="1"/>
  <c r="F476" i="1"/>
  <c r="H622" i="1" s="1"/>
  <c r="J622" i="1" s="1"/>
  <c r="G8" i="2"/>
  <c r="I446" i="1"/>
  <c r="G642" i="1"/>
  <c r="H408" i="1"/>
  <c r="H644" i="1" s="1"/>
  <c r="J644" i="1"/>
  <c r="L337" i="1"/>
  <c r="E124" i="2"/>
  <c r="E119" i="2"/>
  <c r="I338" i="1"/>
  <c r="I352" i="1" s="1"/>
  <c r="E118" i="2"/>
  <c r="H338" i="1"/>
  <c r="H352" i="1" s="1"/>
  <c r="G338" i="1"/>
  <c r="G352" i="1"/>
  <c r="F338" i="1"/>
  <c r="F352" i="1" s="1"/>
  <c r="C11" i="10"/>
  <c r="E110" i="2"/>
  <c r="E109" i="2"/>
  <c r="C119" i="2"/>
  <c r="C112" i="2"/>
  <c r="C111" i="2"/>
  <c r="C125" i="2"/>
  <c r="C20" i="10"/>
  <c r="C18" i="10"/>
  <c r="D7" i="13"/>
  <c r="C7" i="13"/>
  <c r="C16" i="10"/>
  <c r="I257" i="1"/>
  <c r="I271" i="1" s="1"/>
  <c r="C13" i="10"/>
  <c r="C110" i="2"/>
  <c r="J271" i="1"/>
  <c r="C124" i="2"/>
  <c r="F662" i="1"/>
  <c r="G649" i="1"/>
  <c r="J649" i="1" s="1"/>
  <c r="D14" i="13"/>
  <c r="C14" i="13"/>
  <c r="C123" i="2"/>
  <c r="D6" i="13"/>
  <c r="C6" i="13"/>
  <c r="C118" i="2"/>
  <c r="C15" i="10"/>
  <c r="C103" i="2"/>
  <c r="J193" i="1"/>
  <c r="G631" i="1" s="1"/>
  <c r="J631" i="1" s="1"/>
  <c r="G193" i="1"/>
  <c r="G628" i="1" s="1"/>
  <c r="J628" i="1" s="1"/>
  <c r="C70" i="2"/>
  <c r="G646" i="1"/>
  <c r="F112" i="1"/>
  <c r="C31" i="2"/>
  <c r="E51" i="2"/>
  <c r="G211" i="1"/>
  <c r="G257" i="1"/>
  <c r="G271" i="1"/>
  <c r="B9" i="12"/>
  <c r="C10" i="10" l="1"/>
  <c r="L211" i="1"/>
  <c r="C109" i="2"/>
  <c r="C115" i="2" s="1"/>
  <c r="D5" i="13"/>
  <c r="E57" i="2"/>
  <c r="E62" i="2" s="1"/>
  <c r="E63" i="2" s="1"/>
  <c r="E104" i="2" s="1"/>
  <c r="H112" i="1"/>
  <c r="D18" i="13"/>
  <c r="C18" i="13" s="1"/>
  <c r="C114" i="2"/>
  <c r="C24" i="10"/>
  <c r="H211" i="1"/>
  <c r="H257" i="1" s="1"/>
  <c r="H271" i="1" s="1"/>
  <c r="F91" i="2"/>
  <c r="G81" i="2"/>
  <c r="C81" i="2"/>
  <c r="I551" i="1"/>
  <c r="I552" i="1" s="1"/>
  <c r="L539" i="1"/>
  <c r="L545" i="1" s="1"/>
  <c r="L328" i="1"/>
  <c r="L309" i="1"/>
  <c r="E125" i="2"/>
  <c r="E121" i="2"/>
  <c r="E128" i="2" s="1"/>
  <c r="E112" i="2"/>
  <c r="L290" i="1"/>
  <c r="K338" i="1"/>
  <c r="K352" i="1" s="1"/>
  <c r="G31" i="13"/>
  <c r="G33" i="13" s="1"/>
  <c r="J338" i="1"/>
  <c r="F31" i="13"/>
  <c r="A13" i="12"/>
  <c r="J630" i="1"/>
  <c r="D29" i="13"/>
  <c r="C29" i="13" s="1"/>
  <c r="L362" i="1"/>
  <c r="H661" i="1"/>
  <c r="D127" i="2"/>
  <c r="D128" i="2" s="1"/>
  <c r="D145" i="2" s="1"/>
  <c r="F661" i="1"/>
  <c r="G661" i="1"/>
  <c r="D104" i="2"/>
  <c r="J639" i="1"/>
  <c r="L427" i="1"/>
  <c r="G434" i="1"/>
  <c r="L434" i="1"/>
  <c r="G638" i="1" s="1"/>
  <c r="J638" i="1" s="1"/>
  <c r="G408" i="1"/>
  <c r="H645" i="1" s="1"/>
  <c r="J645" i="1" s="1"/>
  <c r="G163" i="2"/>
  <c r="G36" i="2"/>
  <c r="G50" i="2" s="1"/>
  <c r="J51" i="1"/>
  <c r="G9" i="2"/>
  <c r="J19" i="1"/>
  <c r="G621" i="1" s="1"/>
  <c r="I452" i="1"/>
  <c r="I461" i="1" s="1"/>
  <c r="H642" i="1" s="1"/>
  <c r="J642" i="1" s="1"/>
  <c r="J22" i="1"/>
  <c r="F193" i="1"/>
  <c r="G627" i="1" s="1"/>
  <c r="J627" i="1" s="1"/>
  <c r="C128" i="2"/>
  <c r="E115" i="2"/>
  <c r="K545" i="1"/>
  <c r="G624" i="1"/>
  <c r="J624" i="1" s="1"/>
  <c r="H52" i="1"/>
  <c r="H619" i="1" s="1"/>
  <c r="J619" i="1" s="1"/>
  <c r="G650" i="1"/>
  <c r="J650" i="1" s="1"/>
  <c r="G662" i="1"/>
  <c r="I662" i="1" s="1"/>
  <c r="D15" i="13"/>
  <c r="C15" i="13" s="1"/>
  <c r="L229" i="1"/>
  <c r="G660" i="1" s="1"/>
  <c r="C21" i="10"/>
  <c r="H647" i="1"/>
  <c r="J647" i="1" s="1"/>
  <c r="C122" i="2"/>
  <c r="E13" i="13"/>
  <c r="C13" i="13" s="1"/>
  <c r="C19" i="10"/>
  <c r="L247" i="1"/>
  <c r="H660" i="1" s="1"/>
  <c r="H664" i="1" s="1"/>
  <c r="C120" i="2"/>
  <c r="E8" i="13"/>
  <c r="C17" i="10"/>
  <c r="C164" i="2"/>
  <c r="G164" i="2" s="1"/>
  <c r="K503" i="1"/>
  <c r="G161" i="2"/>
  <c r="K551" i="1"/>
  <c r="K550" i="1"/>
  <c r="F130" i="2"/>
  <c r="F144" i="2" s="1"/>
  <c r="F145" i="2" s="1"/>
  <c r="L382" i="1"/>
  <c r="G636" i="1" s="1"/>
  <c r="J636" i="1" s="1"/>
  <c r="H140" i="1"/>
  <c r="C38" i="10" s="1"/>
  <c r="G663" i="1"/>
  <c r="I663" i="1" s="1"/>
  <c r="L614" i="1"/>
  <c r="F22" i="13"/>
  <c r="C22" i="13" s="1"/>
  <c r="C12" i="10"/>
  <c r="J571" i="1"/>
  <c r="L560" i="1"/>
  <c r="L571" i="1" s="1"/>
  <c r="J634" i="1"/>
  <c r="G160" i="2"/>
  <c r="G156" i="2"/>
  <c r="C91" i="2"/>
  <c r="F78" i="2"/>
  <c r="F81" i="2" s="1"/>
  <c r="F104" i="2" s="1"/>
  <c r="J552" i="1"/>
  <c r="C142" i="2"/>
  <c r="C26" i="10"/>
  <c r="G62" i="2"/>
  <c r="G63" i="2" s="1"/>
  <c r="G104" i="2" s="1"/>
  <c r="L393" i="1"/>
  <c r="A22" i="12"/>
  <c r="C121" i="2"/>
  <c r="D12" i="13"/>
  <c r="C12" i="13" s="1"/>
  <c r="D47" i="2"/>
  <c r="G51" i="1"/>
  <c r="G18" i="2"/>
  <c r="K257" i="1"/>
  <c r="K271" i="1" s="1"/>
  <c r="K434" i="1"/>
  <c r="G134" i="2" s="1"/>
  <c r="G144" i="2" s="1"/>
  <c r="G145" i="2" s="1"/>
  <c r="D50" i="2"/>
  <c r="D51" i="2" s="1"/>
  <c r="F31" i="2"/>
  <c r="F51" i="2" s="1"/>
  <c r="C9" i="12"/>
  <c r="C27" i="10" l="1"/>
  <c r="G635" i="1"/>
  <c r="J635" i="1" s="1"/>
  <c r="C5" i="13"/>
  <c r="G52" i="1"/>
  <c r="H618" i="1" s="1"/>
  <c r="J618" i="1" s="1"/>
  <c r="G623" i="1"/>
  <c r="J623" i="1" s="1"/>
  <c r="E33" i="13"/>
  <c r="D35" i="13" s="1"/>
  <c r="C8" i="13"/>
  <c r="I661" i="1"/>
  <c r="G664" i="1"/>
  <c r="L338" i="1"/>
  <c r="L352" i="1" s="1"/>
  <c r="G633" i="1" s="1"/>
  <c r="J633" i="1" s="1"/>
  <c r="D31" i="13"/>
  <c r="C31" i="13" s="1"/>
  <c r="C104" i="2"/>
  <c r="F660" i="1"/>
  <c r="L257" i="1"/>
  <c r="L271" i="1" s="1"/>
  <c r="G632" i="1" s="1"/>
  <c r="J632" i="1" s="1"/>
  <c r="G626" i="1"/>
  <c r="J626" i="1" s="1"/>
  <c r="C36" i="10"/>
  <c r="H193" i="1"/>
  <c r="G629" i="1" s="1"/>
  <c r="J629" i="1" s="1"/>
  <c r="F33" i="13"/>
  <c r="C138" i="2"/>
  <c r="L408" i="1"/>
  <c r="K552" i="1"/>
  <c r="H667" i="1"/>
  <c r="H672" i="1"/>
  <c r="C6" i="10" s="1"/>
  <c r="E145" i="2"/>
  <c r="G21" i="2"/>
  <c r="G31" i="2" s="1"/>
  <c r="G51" i="2" s="1"/>
  <c r="J32" i="1"/>
  <c r="J52" i="1" s="1"/>
  <c r="H621" i="1" s="1"/>
  <c r="J621" i="1" s="1"/>
  <c r="J352" i="1"/>
  <c r="H648" i="1"/>
  <c r="J648" i="1" s="1"/>
  <c r="C28" i="10"/>
  <c r="D22" i="10" l="1"/>
  <c r="D11" i="10"/>
  <c r="D20" i="10"/>
  <c r="C30" i="10"/>
  <c r="D23" i="10"/>
  <c r="D18" i="10"/>
  <c r="D15" i="10"/>
  <c r="D25" i="10"/>
  <c r="D13" i="10"/>
  <c r="D16" i="10"/>
  <c r="C141" i="2"/>
  <c r="C144" i="2" s="1"/>
  <c r="C145" i="2" s="1"/>
  <c r="D26" i="10"/>
  <c r="F664" i="1"/>
  <c r="I660" i="1"/>
  <c r="I664" i="1" s="1"/>
  <c r="D33" i="13"/>
  <c r="D36" i="13" s="1"/>
  <c r="D19" i="10"/>
  <c r="D10" i="10"/>
  <c r="D24" i="10"/>
  <c r="D17" i="10"/>
  <c r="D12" i="10"/>
  <c r="H646" i="1"/>
  <c r="J646" i="1" s="1"/>
  <c r="G637" i="1"/>
  <c r="J637" i="1" s="1"/>
  <c r="C41" i="10"/>
  <c r="D36" i="10" s="1"/>
  <c r="G667" i="1"/>
  <c r="G672" i="1"/>
  <c r="C5" i="10" s="1"/>
  <c r="D21" i="10"/>
  <c r="D27" i="10"/>
  <c r="I667" i="1" l="1"/>
  <c r="I672" i="1"/>
  <c r="C7" i="10" s="1"/>
  <c r="D28" i="10"/>
  <c r="F672" i="1"/>
  <c r="C4" i="10" s="1"/>
  <c r="F667" i="1"/>
  <c r="D35" i="10"/>
  <c r="D40" i="10"/>
  <c r="D39" i="10"/>
  <c r="D37" i="10"/>
  <c r="D38" i="10"/>
  <c r="H65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<sst xmlns="http://schemas.openxmlformats.org/spreadsheetml/2006/main" count="3957" uniqueCount="915">
  <si>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</si>
  <si>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</si>
  <si>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</si>
  <si>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</si>
  <si>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</si>
  <si>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</si>
  <si>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</si>
  <si>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</si>
  <si>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</si>
  <si>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</si>
  <si>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</si>
  <si>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</si>
  <si>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</si>
  <si>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</si>
  <si>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</si>
  <si>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</si>
  <si>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</si>
  <si>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</si>
  <si>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</si>
  <si>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</si>
  <si>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</si>
  <si>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</si>
  <si>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</si>
  <si>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</si>
  <si>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</si>
  <si>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</si>
  <si>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</si>
  <si>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</si>
  <si>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</si>
  <si>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</si>
  <si>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</si>
  <si>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</si>
  <si>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</si>
  <si>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</si>
  <si>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</si>
  <si>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</si>
  <si>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</si>
  <si>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</si>
  <si>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</si>
  <si>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</si>
  <si>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</si>
  <si>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</si>
  <si>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</si>
  <si>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</si>
  <si>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</si>
  <si>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</si>
  <si>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</si>
  <si>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</si>
  <si>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</si>
  <si>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</si>
  <si>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</si>
  <si>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</si>
  <si>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</si>
  <si>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</si>
  <si>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</si>
  <si>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</si>
  <si>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</si>
  <si>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</si>
  <si>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</si>
  <si>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</si>
  <si>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</si>
  <si>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</si>
  <si>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</si>
  <si>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</si>
  <si>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</si>
  <si>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</si>
  <si>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</si>
  <si>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</si>
  <si>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</si>
  <si>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</si>
  <si>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</si>
  <si>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</si>
  <si>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</si>
  <si>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</si>
  <si>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</si>
  <si>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</si>
  <si>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</si>
  <si>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</si>
  <si>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</si>
  <si>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</si>
  <si>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</si>
  <si>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</si>
  <si>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</si>
  <si>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</si>
  <si>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</si>
  <si>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</si>
  <si>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</si>
  <si>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</si>
  <si>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</si>
  <si>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</si>
  <si>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</si>
  <si>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</si>
  <si>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</si>
  <si>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</si>
  <si>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</si>
  <si>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</si>
  <si>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</si>
  <si>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</si>
  <si>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</si>
  <si>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</si>
  <si>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</si>
  <si>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</si>
  <si>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</si>
  <si>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</si>
  <si>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</si>
  <si>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</si>
  <si>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</si>
  <si>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</si>
  <si>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</si>
  <si>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</si>
  <si>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</si>
  <si>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</si>
  <si>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</si>
  <si>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</si>
  <si>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</si>
  <si>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</si>
  <si>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</si>
  <si>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</si>
  <si>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</si>
  <si>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</si>
  <si>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</si>
  <si>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</si>
  <si>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</si>
  <si>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</si>
  <si>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</si>
  <si>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</si>
  <si>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</si>
  <si>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</si>
  <si>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</si>
  <si>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</si>
  <si>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</si>
  <si>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</si>
  <si>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</si>
  <si>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</si>
  <si>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</si>
  <si>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</si>
  <si>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</si>
  <si>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</si>
  <si>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</si>
  <si>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</si>
  <si>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</si>
  <si>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</si>
  <si>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</si>
  <si>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</si>
  <si>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</si>
  <si>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</si>
  <si>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</si>
  <si>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</si>
  <si>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</si>
  <si>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</si>
  <si>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</si>
  <si>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</si>
  <si>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</si>
  <si>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</si>
  <si>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</si>
  <si>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</si>
  <si>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</si>
  <si>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</si>
  <si>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</si>
  <si>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</si>
  <si>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</si>
  <si>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</si>
  <si>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</si>
  <si>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</si>
  <si>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</si>
  <si>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</si>
  <si>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</si>
  <si>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</si>
  <si>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</si>
  <si>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</si>
  <si>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</si>
  <si>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</si>
  <si>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</si>
  <si>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</si>
  <si>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</si>
  <si>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</si>
  <si>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</si>
  <si>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</si>
  <si>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</si>
  <si>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</si>
  <si>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</si>
  <si>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</si>
  <si>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</si>
  <si>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</si>
  <si>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</si>
  <si>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</si>
  <si>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</si>
  <si>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</si>
  <si>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</si>
  <si>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</si>
  <si>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</si>
  <si>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</si>
  <si>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</si>
  <si>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</si>
  <si>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</si>
  <si>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</si>
  <si>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</si>
  <si>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</si>
  <si>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</si>
  <si>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</si>
  <si>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</si>
  <si>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</si>
  <si>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</si>
  <si>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</si>
  <si>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</si>
  <si>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</si>
  <si>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</si>
  <si>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</si>
  <si>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</si>
  <si>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</si>
  <si>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</si>
  <si>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</si>
  <si>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</si>
  <si>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</si>
  <si>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</si>
  <si>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</si>
  <si>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</si>
  <si>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</si>
  <si>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</si>
  <si>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</si>
  <si>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</si>
  <si>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</si>
  <si>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</si>
  <si>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</si>
  <si>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</si>
  <si>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</si>
  <si>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</si>
  <si>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</si>
  <si>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</si>
  <si>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</si>
  <si>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</si>
  <si>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</si>
  <si>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</si>
  <si>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</si>
  <si>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</si>
  <si>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</si>
  <si>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</si>
  <si>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</si>
  <si>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</si>
  <si>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</si>
  <si>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</si>
  <si>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</si>
  <si>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</si>
  <si>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</si>
  <si>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</si>
  <si>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</si>
  <si>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</si>
  <si>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</si>
  <si>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</si>
  <si>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</si>
  <si>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</si>
  <si>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</si>
  <si>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</si>
  <si>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</si>
  <si>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</si>
  <si>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</si>
  <si>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</si>
  <si>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</si>
  <si>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</si>
  <si>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</si>
  <si>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</si>
  <si>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</si>
  <si>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</si>
  <si>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</si>
  <si>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</si>
  <si>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</si>
  <si>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</si>
  <si>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</si>
  <si>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</si>
  <si>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</si>
  <si>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</si>
  <si>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</si>
  <si>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</si>
  <si>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</si>
  <si>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</si>
  <si>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</si>
  <si>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</si>
  <si>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</si>
  <si>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</si>
  <si>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</si>
  <si>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</si>
  <si>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</si>
  <si>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</si>
  <si>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</si>
  <si>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</si>
  <si>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</si>
  <si>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</si>
  <si>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</si>
  <si>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</si>
  <si>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</si>
  <si>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</si>
  <si>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</si>
  <si>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</si>
  <si>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</si>
  <si>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</si>
  <si>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</si>
  <si>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</si>
  <si>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</si>
  <si>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</si>
  <si>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</si>
  <si>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</si>
  <si>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</si>
  <si>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</si>
  <si>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</si>
  <si>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</si>
  <si>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</si>
  <si>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</si>
  <si>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</si>
  <si>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</si>
  <si>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</si>
  <si>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</si>
  <si>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</si>
  <si>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</si>
  <si>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</si>
  <si>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</si>
  <si>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</si>
  <si>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</si>
  <si>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</si>
  <si>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</si>
  <si>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</si>
  <si>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</si>
  <si>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</si>
  <si>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</si>
  <si>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</si>
  <si>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</si>
  <si>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</si>
  <si>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</si>
  <si>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</si>
  <si>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</si>
  <si>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</si>
  <si>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</si>
  <si>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</si>
  <si>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</si>
  <si>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</si>
  <si>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</si>
  <si>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</si>
  <si>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</si>
  <si>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</si>
  <si>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</si>
  <si>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</si>
  <si>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</si>
  <si>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</si>
  <si>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</si>
  <si>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</si>
  <si>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</si>
  <si>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</si>
  <si>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</si>
  <si>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</si>
  <si>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</si>
  <si>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</si>
  <si>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</si>
  <si>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</si>
  <si>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</si>
  <si>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</si>
  <si>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</si>
  <si>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</si>
  <si>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</si>
  <si>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</si>
  <si>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</si>
  <si>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</si>
  <si>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</si>
  <si>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</si>
  <si>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</si>
  <si>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</si>
  <si>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</si>
  <si>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</si>
  <si>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</si>
  <si>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</si>
  <si>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</si>
  <si>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</si>
  <si>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</si>
  <si>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</si>
  <si>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</si>
  <si>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</si>
  <si>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</si>
  <si>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</si>
  <si>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</si>
  <si>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</si>
  <si>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</si>
  <si>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</si>
  <si>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</si>
  <si>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</si>
  <si>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</si>
  <si>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</si>
  <si>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</si>
  <si>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</si>
  <si>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</si>
  <si>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</si>
  <si>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</si>
  <si>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</si>
  <si>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</si>
  <si>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</si>
  <si>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</si>
  <si>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</si>
  <si>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</si>
  <si>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</si>
  <si>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</si>
  <si>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</si>
  <si>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</si>
  <si>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</si>
  <si>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</si>
  <si>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</si>
  <si>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</si>
  <si>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</si>
  <si>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</si>
  <si>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</si>
  <si>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</si>
  <si>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</si>
  <si>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</si>
  <si>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</si>
  <si>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</si>
  <si>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</si>
  <si>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</si>
  <si>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</si>
  <si>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</si>
  <si>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</si>
  <si>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</si>
  <si>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</si>
  <si>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</si>
  <si>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</si>
  <si>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</si>
  <si>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</si>
  <si>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</si>
  <si>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</si>
  <si>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</si>
  <si>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</si>
  <si>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</si>
  <si>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</si>
  <si>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</si>
  <si>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</si>
  <si>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</si>
  <si>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</si>
  <si>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</si>
  <si>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</si>
  <si>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</si>
  <si>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</si>
  <si>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</si>
  <si>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</si>
  <si>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</si>
  <si>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</si>
  <si>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</si>
  <si>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</si>
  <si>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</si>
  <si>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</si>
  <si>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</si>
  <si>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</si>
  <si>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</si>
  <si>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</si>
  <si>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</si>
  <si>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</si>
  <si>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</si>
  <si>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</si>
  <si>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</si>
  <si>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</si>
  <si>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</si>
  <si>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</si>
  <si>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</si>
  <si>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</si>
  <si>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</si>
  <si>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</si>
  <si>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</si>
  <si>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</si>
  <si>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</si>
  <si>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</si>
  <si>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</si>
  <si>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</si>
  <si>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</si>
  <si>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</si>
  <si>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</si>
  <si>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</si>
  <si>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</si>
  <si>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</si>
  <si>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</si>
  <si>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</si>
  <si>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</si>
  <si>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</si>
  <si>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</si>
  <si>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</si>
  <si>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</si>
  <si>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</si>
  <si>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</si>
  <si>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</si>
  <si>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</si>
  <si>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</si>
  <si>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</si>
  <si>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</si>
  <si>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</si>
  <si>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</si>
  <si>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</si>
  <si>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</si>
  <si>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</si>
  <si>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</si>
  <si>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</si>
  <si>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</si>
  <si>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</si>
  <si>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</si>
  <si>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</si>
  <si>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</si>
  <si>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</si>
  <si>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</si>
  <si>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</si>
  <si>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</si>
  <si>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</si>
  <si>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</si>
  <si>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</si>
  <si>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</si>
  <si>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</si>
  <si>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</si>
  <si>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</si>
  <si>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</si>
  <si>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</si>
  <si>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</si>
  <si>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</si>
  <si>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</si>
  <si>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</si>
  <si>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</si>
  <si>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</si>
  <si>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</si>
  <si>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</si>
  <si>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</si>
  <si>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</si>
  <si>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</si>
  <si>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</si>
  <si>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</si>
  <si>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</si>
  <si>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</si>
  <si>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</si>
  <si>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</si>
  <si>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</si>
  <si>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</si>
  <si>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</si>
  <si>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</si>
  <si>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</si>
  <si>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</si>
  <si>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</si>
  <si>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</si>
  <si>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</si>
  <si>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</si>
  <si>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</si>
  <si>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</si>
  <si>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</si>
  <si>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</si>
  <si>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</si>
  <si>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</si>
  <si>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</si>
  <si>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</si>
  <si>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</si>
  <si>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</si>
  <si>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</si>
  <si>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</si>
  <si>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</si>
  <si>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</si>
  <si>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</si>
  <si>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</si>
  <si>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</si>
  <si>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</si>
  <si>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</si>
  <si>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</si>
  <si>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</si>
  <si>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</si>
  <si>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</si>
  <si>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</si>
  <si>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</si>
  <si>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</si>
  <si>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</si>
  <si>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</si>
  <si>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</si>
  <si>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</si>
  <si>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</si>
  <si>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</si>
  <si>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</si>
  <si>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</si>
  <si>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</si>
  <si>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</si>
  <si>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</si>
  <si>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</si>
  <si>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</si>
  <si>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</si>
  <si>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</si>
  <si>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</si>
  <si>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</si>
  <si>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</si>
  <si>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</si>
  <si>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</si>
  <si>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</si>
  <si>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</si>
  <si>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</si>
  <si>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</si>
  <si>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</si>
  <si>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</si>
  <si>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</si>
  <si>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</si>
  <si>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</si>
  <si>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</si>
  <si>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</si>
  <si>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</si>
  <si>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</si>
  <si>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</si>
  <si>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</si>
  <si>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</si>
  <si>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</si>
  <si>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</si>
  <si>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</si>
  <si>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</si>
  <si>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</si>
  <si>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</si>
  <si>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</si>
  <si>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</si>
  <si>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</si>
  <si>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</si>
  <si>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</si>
  <si>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</si>
  <si>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</si>
  <si>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</si>
  <si>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</si>
  <si>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</si>
  <si>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</si>
  <si>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</si>
  <si>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</si>
  <si>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</si>
  <si>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</si>
  <si>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</si>
  <si>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</si>
  <si>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</si>
  <si>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</si>
  <si>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</si>
  <si>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</si>
  <si>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</si>
  <si>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</si>
  <si>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</si>
  <si>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</si>
  <si>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</si>
  <si>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</si>
  <si>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</si>
  <si>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</si>
  <si>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</si>
  <si>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</si>
  <si>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</si>
  <si>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</si>
  <si>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</si>
  <si>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</si>
  <si>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</si>
  <si>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</si>
  <si>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</si>
  <si>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</si>
  <si>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</si>
  <si>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</si>
  <si>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</si>
  <si>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</si>
  <si>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</si>
  <si>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</si>
  <si>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</si>
  <si>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</si>
  <si>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</si>
  <si>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</si>
  <si>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</si>
  <si>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</si>
  <si>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</si>
  <si>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</si>
  <si>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</si>
  <si>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</si>
  <si>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</si>
  <si>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</si>
  <si>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</si>
  <si>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</si>
  <si>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</si>
  <si>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</si>
  <si>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</si>
  <si>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</si>
  <si>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</si>
  <si>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</si>
  <si>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</si>
  <si>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</si>
  <si>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</si>
  <si>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</si>
  <si>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</si>
  <si>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</si>
  <si>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</si>
  <si>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</si>
  <si>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</si>
  <si>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</si>
  <si>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</si>
  <si>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</si>
  <si>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</si>
  <si>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</si>
  <si>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</si>
  <si>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</si>
  <si>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</si>
  <si>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</si>
  <si>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</si>
  <si>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</si>
  <si>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</si>
  <si>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</si>
  <si>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</si>
  <si>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</si>
  <si>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</si>
  <si>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</si>
  <si>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</si>
  <si>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</si>
  <si>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</si>
  <si>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</si>
  <si>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</si>
  <si>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</si>
  <si>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</si>
  <si>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</si>
  <si>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</si>
  <si>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</si>
  <si>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</si>
  <si>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</si>
  <si>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</si>
  <si>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</si>
  <si>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</si>
  <si>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</si>
  <si>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</si>
  <si>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</si>
  <si>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</si>
  <si>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</si>
  <si>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</si>
  <si>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</si>
  <si>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</si>
  <si>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</si>
  <si>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</si>
  <si>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</si>
  <si>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</si>
  <si>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</si>
  <si>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</si>
  <si>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</si>
  <si>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</si>
  <si>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</si>
  <si>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</si>
  <si>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</si>
  <si>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</si>
  <si>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</si>
  <si>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</si>
  <si>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</si>
  <si>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</si>
  <si>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</si>
  <si>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</si>
  <si>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</si>
  <si>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</si>
  <si>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</si>
  <si>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</si>
  <si>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</si>
  <si>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</si>
  <si>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</si>
  <si>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</si>
  <si>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</si>
  <si>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</si>
  <si>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</si>
  <si>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</si>
  <si>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</si>
  <si>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</si>
  <si>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</si>
  <si>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</si>
  <si>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</si>
  <si>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</si>
  <si>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</si>
  <si>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</si>
  <si>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</si>
  <si>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</si>
  <si>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</si>
  <si>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</si>
  <si>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</si>
  <si>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</si>
  <si>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</si>
  <si>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</si>
  <si>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</si>
  <si>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</si>
  <si>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</si>
  <si>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</si>
  <si>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</si>
  <si>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</si>
  <si>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</si>
  <si>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</si>
  <si>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</si>
  <si>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</si>
  <si>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</si>
  <si>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</si>
  <si>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</si>
  <si>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</si>
  <si>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</si>
  <si>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</si>
  <si>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</si>
  <si>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</si>
  <si>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</si>
  <si>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</si>
  <si>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</si>
  <si>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</si>
  <si>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</si>
  <si>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</si>
  <si>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</si>
  <si>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</si>
  <si>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</si>
  <si>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</si>
  <si>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</si>
  <si>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</si>
  <si>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</si>
  <si>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</si>
  <si>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</si>
  <si>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</si>
  <si>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</si>
  <si>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</si>
  <si>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</si>
  <si>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</si>
  <si>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</si>
  <si>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</si>
  <si>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</si>
  <si>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</si>
  <si>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</si>
  <si>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</si>
  <si>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</si>
  <si>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</si>
  <si>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</si>
  <si>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</si>
  <si>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</si>
  <si>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</si>
  <si>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</si>
  <si>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</si>
  <si>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</si>
  <si>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</si>
  <si>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</si>
  <si>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</si>
  <si>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</si>
  <si>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</si>
  <si>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</si>
  <si>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</si>
  <si>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</si>
  <si>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</si>
  <si>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</si>
  <si>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</si>
  <si>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</si>
  <si>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</si>
  <si>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</si>
  <si>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</si>
  <si>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</si>
  <si>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</si>
  <si>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</si>
  <si>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</si>
  <si>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</si>
  <si>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</si>
  <si>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</si>
  <si>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</si>
  <si>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</si>
  <si>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</si>
  <si>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</si>
  <si>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</si>
  <si>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</si>
  <si>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</si>
  <si>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</si>
  <si>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</si>
  <si>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</si>
  <si>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</si>
  <si>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</si>
  <si>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</si>
  <si>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</si>
  <si>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</si>
  <si>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</si>
  <si>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</si>
  <si>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</si>
  <si>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</si>
  <si>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</si>
  <si>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</si>
  <si>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</si>
  <si>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</si>
  <si>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</si>
  <si>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</si>
  <si>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</si>
  <si>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</si>
  <si>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</si>
  <si>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</si>
  <si>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</si>
  <si>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</si>
  <si>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</si>
  <si>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</si>
  <si>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</si>
  <si>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</si>
  <si>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</si>
  <si>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</si>
  <si>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</si>
  <si>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</si>
  <si>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</si>
  <si>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</si>
  <si>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</si>
  <si>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</si>
  <si>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</si>
  <si>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</si>
  <si>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</si>
  <si>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</si>
  <si>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</si>
  <si>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</si>
  <si>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</si>
  <si>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</si>
  <si>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</si>
  <si>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</si>
  <si>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</si>
  <si>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</si>
  <si>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</si>
  <si>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</si>
  <si>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</si>
  <si>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</si>
  <si>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</si>
  <si>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</si>
  <si>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</si>
  <si>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</si>
  <si>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</si>
  <si>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</si>
  <si>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</si>
  <si>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</si>
  <si>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</si>
  <si>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</si>
  <si>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</si>
  <si>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          CONWAY SCHOOL DISTRICT</t>
  </si>
  <si>
    <t xml:space="preserve">   SEIDENSTUECKER EXP TRUST</t>
  </si>
  <si>
    <t>12/03</t>
  </si>
  <si>
    <t>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</si>
</sst>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113</v>
      </c>
      <c r="C2" s="21">
        <v>113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895644.27+450</f>
        <v>896094.27</v>
      </c>
      <c r="G9" s="18">
        <v>405303.64</v>
      </c>
      <c r="H9" s="18">
        <v>0</v>
      </c>
      <c r="I9" s="18"/>
      <c r="J9" s="67">
        <f>SUM(I439)</f>
        <v>1256984.8299999998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683865.29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46830.38</v>
      </c>
      <c r="G13" s="18">
        <v>125354.88</v>
      </c>
      <c r="H13" s="18">
        <v>279575.89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20792.580000000002</v>
      </c>
      <c r="G14" s="18">
        <v>769.04</v>
      </c>
      <c r="H14" s="18">
        <v>2620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21550.77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1647582.52</v>
      </c>
      <c r="G19" s="41">
        <f>SUM(G9:G18)</f>
        <v>552978.33000000007</v>
      </c>
      <c r="H19" s="41">
        <f>SUM(H9:H18)</f>
        <v>282195.89</v>
      </c>
      <c r="I19" s="41">
        <f>SUM(I9:I18)</f>
        <v>0</v>
      </c>
      <c r="J19" s="41">
        <f>SUM(J9:J18)</f>
        <v>1256984.8299999998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481563.43</v>
      </c>
      <c r="H22" s="18">
        <v>202301.86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62191.66</v>
      </c>
      <c r="G24" s="18"/>
      <c r="H24" s="18">
        <v>1838.97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87350.59</v>
      </c>
      <c r="G28" s="18"/>
      <c r="H28" s="18">
        <v>500.68</v>
      </c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954.23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150496.48000000001</v>
      </c>
      <c r="G32" s="41">
        <f>SUM(G22:G31)</f>
        <v>481563.43</v>
      </c>
      <c r="H32" s="41">
        <f>SUM(H22:H31)</f>
        <v>204641.50999999998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21550.77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71414.9-21550.77</f>
        <v>49864.12999999999</v>
      </c>
      <c r="H48" s="18">
        <v>77554.38</v>
      </c>
      <c r="I48" s="18"/>
      <c r="J48" s="13">
        <f>SUM(I459)</f>
        <v>1256984.8299999998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1497086.04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1497086.04</v>
      </c>
      <c r="G51" s="41">
        <f>SUM(G35:G50)</f>
        <v>71414.899999999994</v>
      </c>
      <c r="H51" s="41">
        <f>SUM(H35:H50)</f>
        <v>77554.38</v>
      </c>
      <c r="I51" s="41">
        <f>SUM(I35:I50)</f>
        <v>0</v>
      </c>
      <c r="J51" s="41">
        <f>SUM(J35:J50)</f>
        <v>1256984.8299999998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1647582.52</v>
      </c>
      <c r="G52" s="41">
        <f>G51+G32</f>
        <v>552978.32999999996</v>
      </c>
      <c r="H52" s="41">
        <f>H51+H32</f>
        <v>282195.89</v>
      </c>
      <c r="I52" s="41">
        <f>I51+I32</f>
        <v>0</v>
      </c>
      <c r="J52" s="41">
        <f>J51+J32</f>
        <v>1256984.8299999998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12660980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12660980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1400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9536833.5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9538233.5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44160.09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44160.09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2102.6799999999998</v>
      </c>
      <c r="G96" s="18"/>
      <c r="H96" s="18"/>
      <c r="I96" s="18"/>
      <c r="J96" s="18">
        <v>326.27999999999997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369226.64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33725.75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196800.86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304561.88</v>
      </c>
      <c r="G110" s="18"/>
      <c r="H110" s="18">
        <v>132659.76999999999</v>
      </c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537191.16999999993</v>
      </c>
      <c r="G111" s="41">
        <f>SUM(G96:G110)</f>
        <v>369226.64</v>
      </c>
      <c r="H111" s="41">
        <f>SUM(H96:H110)</f>
        <v>132659.76999999999</v>
      </c>
      <c r="I111" s="41">
        <f>SUM(I96:I110)</f>
        <v>0</v>
      </c>
      <c r="J111" s="41">
        <f>SUM(J96:J110)</f>
        <v>326.27999999999997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22780564.759999998</v>
      </c>
      <c r="G112" s="41">
        <f>G60+G111</f>
        <v>369226.64</v>
      </c>
      <c r="H112" s="41">
        <f>H60+H79+H94+H111</f>
        <v>132659.76999999999</v>
      </c>
      <c r="I112" s="41">
        <f>I60+I111</f>
        <v>0</v>
      </c>
      <c r="J112" s="41">
        <f>J60+J111</f>
        <v>326.27999999999997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3166584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3464014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501.12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6631099.1200000001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1060664.0900000001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346142.99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f>30681.75+4698.51</f>
        <v>35380.26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11182.36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4500</v>
      </c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1406807.08</v>
      </c>
      <c r="G136" s="41">
        <f>SUM(G123:G135)</f>
        <v>11182.36</v>
      </c>
      <c r="H136" s="41">
        <f>SUM(H123:H135)</f>
        <v>39880.26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8037906.2000000002</v>
      </c>
      <c r="G140" s="41">
        <f>G121+SUM(G136:G137)</f>
        <v>11182.36</v>
      </c>
      <c r="H140" s="41">
        <f>H121+SUM(H136:H139)</f>
        <v>39880.26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592942.68999999994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341937.05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80493.97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502818.12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256459.09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260628.49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260628.49</v>
      </c>
      <c r="G162" s="41">
        <f>SUM(G150:G161)</f>
        <v>502818.12</v>
      </c>
      <c r="H162" s="41">
        <f>SUM(H150:H161)</f>
        <v>1271832.8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994.27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261622.75999999998</v>
      </c>
      <c r="G169" s="41">
        <f>G147+G162+SUM(G163:G168)</f>
        <v>502818.12</v>
      </c>
      <c r="H169" s="41">
        <f>H147+H162+SUM(H163:H168)</f>
        <v>1271832.8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355429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355429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169068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37445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206513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206513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355429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31286606.719999999</v>
      </c>
      <c r="G193" s="47">
        <f>G112+G140+G169+G192</f>
        <v>883227.12</v>
      </c>
      <c r="H193" s="47">
        <f>H112+H140+H169+H192</f>
        <v>1444372.83</v>
      </c>
      <c r="I193" s="47">
        <f>I112+I140+I169+I192</f>
        <v>0</v>
      </c>
      <c r="J193" s="47">
        <f>J112+J140+J192</f>
        <v>355755.28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1731629.59+165876.02+791179.53</f>
        <v>2688685.14</v>
      </c>
      <c r="G197" s="18">
        <f>1747968.03+430187.06-791179.53+429590.23</f>
        <v>1816565.7899999998</v>
      </c>
      <c r="H197" s="18">
        <f>437119.09-429590.23</f>
        <v>7528.8600000000442</v>
      </c>
      <c r="I197" s="18">
        <v>135416.92000000001</v>
      </c>
      <c r="J197" s="18">
        <v>48448.77</v>
      </c>
      <c r="K197" s="18"/>
      <c r="L197" s="19">
        <f>SUM(F197:K197)</f>
        <v>4696645.4799999995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1081171.28</v>
      </c>
      <c r="G198" s="18">
        <v>724925.01</v>
      </c>
      <c r="H198" s="18">
        <v>710731.7</v>
      </c>
      <c r="I198" s="18">
        <v>1660.41</v>
      </c>
      <c r="J198" s="18">
        <v>338.08</v>
      </c>
      <c r="K198" s="18"/>
      <c r="L198" s="19">
        <f>SUM(F198:K198)</f>
        <v>2518826.4800000004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32673.75</v>
      </c>
      <c r="G200" s="18">
        <v>4885.16</v>
      </c>
      <c r="H200" s="18">
        <v>5021.74</v>
      </c>
      <c r="I200" s="18"/>
      <c r="J200" s="18"/>
      <c r="K200" s="18"/>
      <c r="L200" s="19">
        <f>SUM(F200:K200)</f>
        <v>42580.65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478410.97</v>
      </c>
      <c r="G202" s="18">
        <v>337044.51</v>
      </c>
      <c r="H202" s="18">
        <v>168664.49</v>
      </c>
      <c r="I202" s="18">
        <v>4877.6899999999996</v>
      </c>
      <c r="J202" s="18">
        <v>422.01</v>
      </c>
      <c r="K202" s="18"/>
      <c r="L202" s="19">
        <f t="shared" ref="L202:L208" si="0">SUM(F202:K202)</f>
        <v>989419.66999999993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93927</v>
      </c>
      <c r="G203" s="18">
        <v>63973.87</v>
      </c>
      <c r="H203" s="18">
        <v>7396.53</v>
      </c>
      <c r="I203" s="18">
        <v>25085.94</v>
      </c>
      <c r="J203" s="18">
        <v>27657.8</v>
      </c>
      <c r="K203" s="18"/>
      <c r="L203" s="19">
        <f t="shared" si="0"/>
        <v>218041.13999999998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8495</v>
      </c>
      <c r="G204" s="18">
        <v>649.71</v>
      </c>
      <c r="H204" s="18">
        <v>356828.19</v>
      </c>
      <c r="I204" s="18">
        <v>2431.85</v>
      </c>
      <c r="J204" s="18">
        <v>0</v>
      </c>
      <c r="K204" s="18">
        <v>2130.92</v>
      </c>
      <c r="L204" s="19">
        <f t="shared" si="0"/>
        <v>370535.67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317759.2</v>
      </c>
      <c r="G205" s="18">
        <v>179762.43</v>
      </c>
      <c r="H205" s="18">
        <v>41565.199999999997</v>
      </c>
      <c r="I205" s="18">
        <v>5704.83</v>
      </c>
      <c r="J205" s="18">
        <v>3114.23</v>
      </c>
      <c r="K205" s="18">
        <v>2528</v>
      </c>
      <c r="L205" s="19">
        <f t="shared" si="0"/>
        <v>550433.8899999999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284543.48</v>
      </c>
      <c r="G207" s="18">
        <v>179274.48</v>
      </c>
      <c r="H207" s="18">
        <v>428365.15</v>
      </c>
      <c r="I207" s="18">
        <v>285364.19</v>
      </c>
      <c r="J207" s="18">
        <v>17788.810000000001</v>
      </c>
      <c r="K207" s="18"/>
      <c r="L207" s="19">
        <f t="shared" si="0"/>
        <v>1195336.1100000001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96585.58+15104.62</f>
        <v>111690.2</v>
      </c>
      <c r="G208" s="18">
        <f>62987.64-15104.62+2653.06</f>
        <v>50536.079999999994</v>
      </c>
      <c r="H208" s="18">
        <f>50360.62-2653.06</f>
        <v>47707.560000000005</v>
      </c>
      <c r="I208" s="18">
        <v>40470.379999999997</v>
      </c>
      <c r="J208" s="18">
        <v>65429.32</v>
      </c>
      <c r="K208" s="18"/>
      <c r="L208" s="19">
        <f t="shared" si="0"/>
        <v>315833.53999999998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831.69</v>
      </c>
      <c r="I209" s="18"/>
      <c r="J209" s="18"/>
      <c r="K209" s="18"/>
      <c r="L209" s="19">
        <f>SUM(F209:K209)</f>
        <v>831.69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5097356.0200000005</v>
      </c>
      <c r="G211" s="41">
        <f t="shared" si="1"/>
        <v>3357617.04</v>
      </c>
      <c r="H211" s="41">
        <f t="shared" si="1"/>
        <v>1774641.1099999999</v>
      </c>
      <c r="I211" s="41">
        <f t="shared" si="1"/>
        <v>501012.21</v>
      </c>
      <c r="J211" s="41">
        <f t="shared" si="1"/>
        <v>163199.01999999999</v>
      </c>
      <c r="K211" s="41">
        <f t="shared" si="1"/>
        <v>4658.92</v>
      </c>
      <c r="L211" s="41">
        <f t="shared" si="1"/>
        <v>10898484.319999998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1160161.76+67860</f>
        <v>1228021.76</v>
      </c>
      <c r="G215" s="18">
        <f>615913.22+176721.22</f>
        <v>792634.44</v>
      </c>
      <c r="H215" s="18">
        <v>9128.08</v>
      </c>
      <c r="I215" s="18">
        <v>53844.09</v>
      </c>
      <c r="J215" s="18">
        <v>45460.49</v>
      </c>
      <c r="K215" s="18"/>
      <c r="L215" s="19">
        <f>SUM(F215:K215)</f>
        <v>2129088.8600000003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436850.97</v>
      </c>
      <c r="G216" s="18">
        <v>306522.44</v>
      </c>
      <c r="H216" s="18">
        <v>333215.45</v>
      </c>
      <c r="I216" s="18">
        <v>9750.33</v>
      </c>
      <c r="J216" s="18">
        <v>2394.4499999999998</v>
      </c>
      <c r="K216" s="18"/>
      <c r="L216" s="19">
        <f>SUM(F216:K216)</f>
        <v>1088733.6399999999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60535</v>
      </c>
      <c r="G218" s="18">
        <v>7130.78</v>
      </c>
      <c r="H218" s="18">
        <v>13538.53</v>
      </c>
      <c r="I218" s="18">
        <v>7982.45</v>
      </c>
      <c r="J218" s="18">
        <v>1499.5</v>
      </c>
      <c r="K218" s="18">
        <v>1475</v>
      </c>
      <c r="L218" s="19">
        <f>SUM(F218:K218)</f>
        <v>92161.26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128750.89</v>
      </c>
      <c r="G220" s="18">
        <v>62908.79</v>
      </c>
      <c r="H220" s="18">
        <v>9613.15</v>
      </c>
      <c r="I220" s="18">
        <v>4275.43</v>
      </c>
      <c r="J220" s="18">
        <v>548.65</v>
      </c>
      <c r="K220" s="18"/>
      <c r="L220" s="19">
        <f t="shared" ref="L220:L226" si="2">SUM(F220:K220)</f>
        <v>206096.90999999997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44238</v>
      </c>
      <c r="G221" s="18">
        <v>41262.43</v>
      </c>
      <c r="H221" s="18">
        <v>5753.93</v>
      </c>
      <c r="I221" s="18">
        <v>9841.19</v>
      </c>
      <c r="J221" s="18">
        <v>10837.41</v>
      </c>
      <c r="K221" s="18">
        <v>711</v>
      </c>
      <c r="L221" s="19">
        <f t="shared" si="2"/>
        <v>112643.95999999999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3490</v>
      </c>
      <c r="G222" s="18">
        <v>266.93</v>
      </c>
      <c r="H222" s="18">
        <v>146606.28</v>
      </c>
      <c r="I222" s="18">
        <v>999.14</v>
      </c>
      <c r="J222" s="18">
        <v>0</v>
      </c>
      <c r="K222" s="18">
        <v>875.5</v>
      </c>
      <c r="L222" s="19">
        <f t="shared" si="2"/>
        <v>152237.85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166855.59</v>
      </c>
      <c r="G223" s="18">
        <v>84402.91</v>
      </c>
      <c r="H223" s="18">
        <v>25412.87</v>
      </c>
      <c r="I223" s="18">
        <v>1070.56</v>
      </c>
      <c r="J223" s="18">
        <v>11448.4</v>
      </c>
      <c r="K223" s="18">
        <v>2655.36</v>
      </c>
      <c r="L223" s="19">
        <f t="shared" si="2"/>
        <v>291845.69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269429.55</v>
      </c>
      <c r="G225" s="18">
        <v>168972.96</v>
      </c>
      <c r="H225" s="18">
        <v>176268.13</v>
      </c>
      <c r="I225" s="18">
        <v>277125.61</v>
      </c>
      <c r="J225" s="18">
        <v>5061.54</v>
      </c>
      <c r="K225" s="18"/>
      <c r="L225" s="19">
        <f t="shared" si="2"/>
        <v>896857.79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39203.9</v>
      </c>
      <c r="G226" s="18">
        <v>19822.59</v>
      </c>
      <c r="H226" s="18">
        <v>7088.94</v>
      </c>
      <c r="I226" s="18">
        <v>16627.36</v>
      </c>
      <c r="J226" s="18">
        <v>26881.81</v>
      </c>
      <c r="K226" s="18"/>
      <c r="L226" s="19">
        <f t="shared" si="2"/>
        <v>109624.6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341.7</v>
      </c>
      <c r="I227" s="18"/>
      <c r="J227" s="18"/>
      <c r="K227" s="18"/>
      <c r="L227" s="19">
        <f>SUM(F227:K227)</f>
        <v>341.7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2377375.6599999997</v>
      </c>
      <c r="G229" s="41">
        <f>SUM(G215:G228)</f>
        <v>1483924.2699999998</v>
      </c>
      <c r="H229" s="41">
        <f>SUM(H215:H228)</f>
        <v>726967.05999999994</v>
      </c>
      <c r="I229" s="41">
        <f>SUM(I215:I228)</f>
        <v>381516.16</v>
      </c>
      <c r="J229" s="41">
        <f>SUM(J215:J228)</f>
        <v>104132.24999999999</v>
      </c>
      <c r="K229" s="41">
        <f t="shared" si="3"/>
        <v>5716.8600000000006</v>
      </c>
      <c r="L229" s="41">
        <f t="shared" si="3"/>
        <v>5079632.26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2392879.89+74455</f>
        <v>2467334.89</v>
      </c>
      <c r="G233" s="18">
        <f>1421800.6+495473.08</f>
        <v>1917273.6800000002</v>
      </c>
      <c r="H233" s="18">
        <v>38146.050000000003</v>
      </c>
      <c r="I233" s="18">
        <v>122362.82</v>
      </c>
      <c r="J233" s="18">
        <v>99116.33</v>
      </c>
      <c r="K233" s="18"/>
      <c r="L233" s="19">
        <f>SUM(F233:K233)</f>
        <v>4644233.7700000005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681615.96</v>
      </c>
      <c r="G234" s="18">
        <v>503277.46</v>
      </c>
      <c r="H234" s="18">
        <v>355670.19</v>
      </c>
      <c r="I234" s="18">
        <v>5359.85</v>
      </c>
      <c r="J234" s="18">
        <v>3128.64</v>
      </c>
      <c r="K234" s="18"/>
      <c r="L234" s="19">
        <f>SUM(F234:K234)</f>
        <v>1549052.0999999999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459834.14</v>
      </c>
      <c r="G235" s="18">
        <v>244980.94</v>
      </c>
      <c r="H235" s="18">
        <v>16687.34</v>
      </c>
      <c r="I235" s="18">
        <v>71894.850000000006</v>
      </c>
      <c r="J235" s="18">
        <v>1800.79</v>
      </c>
      <c r="K235" s="18"/>
      <c r="L235" s="19">
        <f>SUM(F235:K235)</f>
        <v>795198.06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183659.45</v>
      </c>
      <c r="G236" s="18">
        <v>35983.93</v>
      </c>
      <c r="H236" s="18">
        <v>77667.39</v>
      </c>
      <c r="I236" s="18">
        <v>18112.439999999999</v>
      </c>
      <c r="J236" s="18">
        <v>1770.93</v>
      </c>
      <c r="K236" s="18">
        <v>10865.17</v>
      </c>
      <c r="L236" s="19">
        <f>SUM(F236:K236)</f>
        <v>328059.31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580715.42000000004</v>
      </c>
      <c r="G238" s="18">
        <v>316166.96000000002</v>
      </c>
      <c r="H238" s="18">
        <v>72769.009999999995</v>
      </c>
      <c r="I238" s="18">
        <v>14882.91</v>
      </c>
      <c r="J238" s="18">
        <v>619.94000000000005</v>
      </c>
      <c r="K238" s="18">
        <v>100</v>
      </c>
      <c r="L238" s="19">
        <f t="shared" ref="L238:L244" si="4">SUM(F238:K238)</f>
        <v>985254.24000000011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70733.919999999998</v>
      </c>
      <c r="G239" s="18">
        <v>50667.35</v>
      </c>
      <c r="H239" s="18">
        <v>17091.98</v>
      </c>
      <c r="I239" s="18">
        <v>16246.89</v>
      </c>
      <c r="J239" s="18">
        <v>30534.240000000002</v>
      </c>
      <c r="K239" s="18">
        <v>2028</v>
      </c>
      <c r="L239" s="19">
        <f t="shared" si="4"/>
        <v>187302.38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9965</v>
      </c>
      <c r="G240" s="18">
        <v>762.18</v>
      </c>
      <c r="H240" s="18">
        <v>418611.66</v>
      </c>
      <c r="I240" s="18">
        <v>2852.88</v>
      </c>
      <c r="J240" s="18">
        <v>0</v>
      </c>
      <c r="K240" s="18">
        <v>2499.84</v>
      </c>
      <c r="L240" s="19">
        <f t="shared" si="4"/>
        <v>434691.56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479622.9</v>
      </c>
      <c r="G241" s="18">
        <v>211772.55</v>
      </c>
      <c r="H241" s="18">
        <v>61763.31</v>
      </c>
      <c r="I241" s="18">
        <v>16064.55</v>
      </c>
      <c r="J241" s="18">
        <v>2136.94</v>
      </c>
      <c r="K241" s="18">
        <v>16191.45</v>
      </c>
      <c r="L241" s="19">
        <f t="shared" si="4"/>
        <v>787551.7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436093.54</v>
      </c>
      <c r="G243" s="18">
        <v>256530.95</v>
      </c>
      <c r="H243" s="18">
        <v>429579.91</v>
      </c>
      <c r="I243" s="18">
        <v>486303.63</v>
      </c>
      <c r="J243" s="18">
        <v>1404.74</v>
      </c>
      <c r="K243" s="18"/>
      <c r="L243" s="19">
        <f t="shared" si="4"/>
        <v>1609912.7699999998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122329.02</v>
      </c>
      <c r="G244" s="18">
        <v>58408.68</v>
      </c>
      <c r="H244" s="18">
        <v>21470.91</v>
      </c>
      <c r="I244" s="18">
        <v>47476.88</v>
      </c>
      <c r="J244" s="18">
        <v>76756.87</v>
      </c>
      <c r="K244" s="18"/>
      <c r="L244" s="19">
        <f t="shared" si="4"/>
        <v>326442.36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975.68</v>
      </c>
      <c r="I245" s="18"/>
      <c r="J245" s="18"/>
      <c r="K245" s="18"/>
      <c r="L245" s="19">
        <f>SUM(F245:K245)</f>
        <v>975.68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5491904.2400000002</v>
      </c>
      <c r="G247" s="41">
        <f t="shared" si="5"/>
        <v>3595824.6800000006</v>
      </c>
      <c r="H247" s="41">
        <f t="shared" si="5"/>
        <v>1510433.4299999997</v>
      </c>
      <c r="I247" s="41">
        <f t="shared" si="5"/>
        <v>801557.70000000007</v>
      </c>
      <c r="J247" s="41">
        <f t="shared" si="5"/>
        <v>217269.41999999998</v>
      </c>
      <c r="K247" s="41">
        <f t="shared" si="5"/>
        <v>31684.46</v>
      </c>
      <c r="L247" s="41">
        <f t="shared" si="5"/>
        <v>11648673.929999998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12966635.92</v>
      </c>
      <c r="G257" s="41">
        <f t="shared" si="8"/>
        <v>8437365.9900000002</v>
      </c>
      <c r="H257" s="41">
        <f t="shared" si="8"/>
        <v>4012041.5999999996</v>
      </c>
      <c r="I257" s="41">
        <f t="shared" si="8"/>
        <v>1684086.07</v>
      </c>
      <c r="J257" s="41">
        <f t="shared" si="8"/>
        <v>484600.68999999994</v>
      </c>
      <c r="K257" s="41">
        <f t="shared" si="8"/>
        <v>42060.24</v>
      </c>
      <c r="L257" s="41">
        <f t="shared" si="8"/>
        <v>27626790.509999998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1850000</v>
      </c>
      <c r="L260" s="19">
        <f>SUM(F260:K260)</f>
        <v>1850000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902724.5</v>
      </c>
      <c r="L261" s="19">
        <f>SUM(F261:K261)</f>
        <v>902724.5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355429</v>
      </c>
      <c r="L266" s="19">
        <f t="shared" si="9"/>
        <v>355429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3108153.5</v>
      </c>
      <c r="L270" s="41">
        <f t="shared" si="9"/>
        <v>3108153.5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12966635.92</v>
      </c>
      <c r="G271" s="42">
        <f t="shared" si="11"/>
        <v>8437365.9900000002</v>
      </c>
      <c r="H271" s="42">
        <f t="shared" si="11"/>
        <v>4012041.5999999996</v>
      </c>
      <c r="I271" s="42">
        <f t="shared" si="11"/>
        <v>1684086.07</v>
      </c>
      <c r="J271" s="42">
        <f t="shared" si="11"/>
        <v>484600.68999999994</v>
      </c>
      <c r="K271" s="42">
        <f t="shared" si="11"/>
        <v>3150213.74</v>
      </c>
      <c r="L271" s="42">
        <f t="shared" si="11"/>
        <v>30734944.009999998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356120.02</v>
      </c>
      <c r="G276" s="18">
        <v>149099.57999999999</v>
      </c>
      <c r="H276" s="18">
        <v>0</v>
      </c>
      <c r="I276" s="18">
        <v>90752.87</v>
      </c>
      <c r="J276" s="18">
        <v>11210.2</v>
      </c>
      <c r="K276" s="18"/>
      <c r="L276" s="19">
        <f>SUM(F276:K276)</f>
        <v>607182.66999999993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24133.11</v>
      </c>
      <c r="G277" s="18">
        <v>16587.46</v>
      </c>
      <c r="H277" s="18">
        <v>1548</v>
      </c>
      <c r="I277" s="18">
        <v>10410.39</v>
      </c>
      <c r="J277" s="18">
        <v>5429.94</v>
      </c>
      <c r="K277" s="18"/>
      <c r="L277" s="19">
        <f>SUM(F277:K277)</f>
        <v>58108.9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141634.04999999999</v>
      </c>
      <c r="G279" s="18">
        <v>23101.05</v>
      </c>
      <c r="H279" s="18">
        <v>7383</v>
      </c>
      <c r="I279" s="18">
        <v>37257.67</v>
      </c>
      <c r="J279" s="18">
        <v>5096.4399999999996</v>
      </c>
      <c r="K279" s="18"/>
      <c r="L279" s="19">
        <f>SUM(F279:K279)</f>
        <v>214472.20999999996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50145.08</v>
      </c>
      <c r="G281" s="18">
        <v>14142.79</v>
      </c>
      <c r="H281" s="18">
        <v>69080</v>
      </c>
      <c r="I281" s="18"/>
      <c r="J281" s="18"/>
      <c r="K281" s="18"/>
      <c r="L281" s="19">
        <f t="shared" ref="L281:L287" si="12">SUM(F281:K281)</f>
        <v>133367.87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8499.67</v>
      </c>
      <c r="G282" s="18">
        <v>1667.55</v>
      </c>
      <c r="H282" s="18">
        <v>105954.96</v>
      </c>
      <c r="I282" s="18">
        <v>9453.5</v>
      </c>
      <c r="J282" s="18">
        <v>5231.1899999999996</v>
      </c>
      <c r="K282" s="18"/>
      <c r="L282" s="19">
        <f t="shared" si="12"/>
        <v>130806.87000000001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5950</v>
      </c>
      <c r="I286" s="18"/>
      <c r="J286" s="18"/>
      <c r="K286" s="18"/>
      <c r="L286" s="19">
        <f t="shared" si="12"/>
        <v>5950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17316.87</v>
      </c>
      <c r="I287" s="18"/>
      <c r="J287" s="18"/>
      <c r="K287" s="18"/>
      <c r="L287" s="19">
        <f t="shared" si="12"/>
        <v>17316.87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580531.93000000005</v>
      </c>
      <c r="G290" s="42">
        <f t="shared" si="13"/>
        <v>204598.42999999996</v>
      </c>
      <c r="H290" s="42">
        <f t="shared" si="13"/>
        <v>207232.83000000002</v>
      </c>
      <c r="I290" s="42">
        <f t="shared" si="13"/>
        <v>147874.43</v>
      </c>
      <c r="J290" s="42">
        <f t="shared" si="13"/>
        <v>26967.769999999997</v>
      </c>
      <c r="K290" s="42">
        <f t="shared" si="13"/>
        <v>0</v>
      </c>
      <c r="L290" s="41">
        <f t="shared" si="13"/>
        <v>1167205.3900000001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>
        <v>4605.75</v>
      </c>
      <c r="K295" s="18"/>
      <c r="L295" s="19">
        <f>SUM(F295:K295)</f>
        <v>4605.75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600</v>
      </c>
      <c r="G296" s="18">
        <v>45.9</v>
      </c>
      <c r="H296" s="18">
        <v>636</v>
      </c>
      <c r="I296" s="18"/>
      <c r="J296" s="18"/>
      <c r="K296" s="18"/>
      <c r="L296" s="19">
        <f>SUM(F296:K296)</f>
        <v>1281.9000000000001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13633</v>
      </c>
      <c r="G300" s="18">
        <v>4777.0600000000004</v>
      </c>
      <c r="H300" s="18">
        <v>8370</v>
      </c>
      <c r="I300" s="18"/>
      <c r="J300" s="18"/>
      <c r="K300" s="18"/>
      <c r="L300" s="19">
        <f t="shared" ref="L300:L306" si="14">SUM(F300:K300)</f>
        <v>26780.06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14233</v>
      </c>
      <c r="G309" s="42">
        <f t="shared" si="15"/>
        <v>4822.96</v>
      </c>
      <c r="H309" s="42">
        <f t="shared" si="15"/>
        <v>9006</v>
      </c>
      <c r="I309" s="42">
        <f t="shared" si="15"/>
        <v>0</v>
      </c>
      <c r="J309" s="42">
        <f t="shared" si="15"/>
        <v>4605.75</v>
      </c>
      <c r="K309" s="42">
        <f t="shared" si="15"/>
        <v>0</v>
      </c>
      <c r="L309" s="41">
        <f t="shared" si="15"/>
        <v>32667.71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27633.06</v>
      </c>
      <c r="G314" s="18">
        <v>29252.48</v>
      </c>
      <c r="H314" s="18">
        <v>4649.47</v>
      </c>
      <c r="I314" s="18">
        <v>0</v>
      </c>
      <c r="J314" s="18">
        <v>13151</v>
      </c>
      <c r="K314" s="18"/>
      <c r="L314" s="19">
        <f>SUM(F314:K314)</f>
        <v>74686.010000000009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1197</v>
      </c>
      <c r="G315" s="18">
        <v>91.57</v>
      </c>
      <c r="H315" s="18">
        <v>1816</v>
      </c>
      <c r="I315" s="18"/>
      <c r="J315" s="18"/>
      <c r="K315" s="18"/>
      <c r="L315" s="19">
        <f>SUM(F315:K315)</f>
        <v>3104.5699999999997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7478.38</v>
      </c>
      <c r="G316" s="18">
        <v>4331.91</v>
      </c>
      <c r="H316" s="18">
        <v>1985.19</v>
      </c>
      <c r="I316" s="18">
        <v>6196.12</v>
      </c>
      <c r="J316" s="18">
        <v>52471.86</v>
      </c>
      <c r="K316" s="18"/>
      <c r="L316" s="19">
        <f>SUM(F316:K316)</f>
        <v>72463.460000000006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20449</v>
      </c>
      <c r="G319" s="18">
        <v>7165.59</v>
      </c>
      <c r="H319" s="18">
        <v>621.62</v>
      </c>
      <c r="I319" s="18"/>
      <c r="J319" s="18"/>
      <c r="K319" s="18"/>
      <c r="L319" s="19">
        <f t="shared" ref="L319:L325" si="16">SUM(F319:K319)</f>
        <v>28236.21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5160</v>
      </c>
      <c r="G320" s="18">
        <v>1040.43</v>
      </c>
      <c r="H320" s="18">
        <v>23003.96</v>
      </c>
      <c r="I320" s="18"/>
      <c r="J320" s="18"/>
      <c r="K320" s="18">
        <v>2218.87</v>
      </c>
      <c r="L320" s="19">
        <f t="shared" si="16"/>
        <v>31423.26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3986.71</v>
      </c>
      <c r="I325" s="18"/>
      <c r="J325" s="18"/>
      <c r="K325" s="18"/>
      <c r="L325" s="19">
        <f t="shared" si="16"/>
        <v>3986.71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61917.440000000002</v>
      </c>
      <c r="G328" s="42">
        <f t="shared" si="17"/>
        <v>41881.980000000003</v>
      </c>
      <c r="H328" s="42">
        <f t="shared" si="17"/>
        <v>36062.949999999997</v>
      </c>
      <c r="I328" s="42">
        <f t="shared" si="17"/>
        <v>6196.12</v>
      </c>
      <c r="J328" s="42">
        <f t="shared" si="17"/>
        <v>65622.86</v>
      </c>
      <c r="K328" s="42">
        <f t="shared" si="17"/>
        <v>2218.87</v>
      </c>
      <c r="L328" s="41">
        <f t="shared" si="17"/>
        <v>213900.22000000003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16550</v>
      </c>
      <c r="G333" s="18">
        <v>2092.9499999999998</v>
      </c>
      <c r="H333" s="18">
        <v>2500</v>
      </c>
      <c r="I333" s="18">
        <v>14237.31</v>
      </c>
      <c r="J333" s="18"/>
      <c r="K333" s="18"/>
      <c r="L333" s="19">
        <f t="shared" si="18"/>
        <v>35380.26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16550</v>
      </c>
      <c r="G337" s="41">
        <f t="shared" si="19"/>
        <v>2092.9499999999998</v>
      </c>
      <c r="H337" s="41">
        <f t="shared" si="19"/>
        <v>2500</v>
      </c>
      <c r="I337" s="41">
        <f t="shared" si="19"/>
        <v>14237.31</v>
      </c>
      <c r="J337" s="41">
        <f t="shared" si="19"/>
        <v>0</v>
      </c>
      <c r="K337" s="41">
        <f t="shared" si="19"/>
        <v>0</v>
      </c>
      <c r="L337" s="41">
        <f t="shared" si="18"/>
        <v>35380.26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673232.37000000011</v>
      </c>
      <c r="G338" s="41">
        <f t="shared" si="20"/>
        <v>253396.31999999998</v>
      </c>
      <c r="H338" s="41">
        <f t="shared" si="20"/>
        <v>254801.78000000003</v>
      </c>
      <c r="I338" s="41">
        <f t="shared" si="20"/>
        <v>168307.86</v>
      </c>
      <c r="J338" s="41">
        <f t="shared" si="20"/>
        <v>97196.38</v>
      </c>
      <c r="K338" s="41">
        <f t="shared" si="20"/>
        <v>2218.87</v>
      </c>
      <c r="L338" s="41">
        <f t="shared" si="20"/>
        <v>1449153.58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673232.37000000011</v>
      </c>
      <c r="G352" s="41">
        <f>G338</f>
        <v>253396.31999999998</v>
      </c>
      <c r="H352" s="41">
        <f>H338</f>
        <v>254801.78000000003</v>
      </c>
      <c r="I352" s="41">
        <f>I338</f>
        <v>168307.86</v>
      </c>
      <c r="J352" s="41">
        <f>J338</f>
        <v>97196.38</v>
      </c>
      <c r="K352" s="47">
        <f>K338+K351</f>
        <v>2218.87</v>
      </c>
      <c r="L352" s="41">
        <f>L338+L351</f>
        <v>1449153.58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108717.29</v>
      </c>
      <c r="G358" s="18">
        <v>78417.45</v>
      </c>
      <c r="H358" s="18">
        <v>9182.1</v>
      </c>
      <c r="I358" s="18">
        <v>143211.15</v>
      </c>
      <c r="J358" s="18"/>
      <c r="K358" s="18"/>
      <c r="L358" s="13">
        <f>SUM(F358:K358)</f>
        <v>339527.99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44666.79</v>
      </c>
      <c r="G359" s="18">
        <v>32218.02</v>
      </c>
      <c r="H359" s="18">
        <v>3772.49</v>
      </c>
      <c r="I359" s="18">
        <v>58838.69</v>
      </c>
      <c r="J359" s="18"/>
      <c r="K359" s="18"/>
      <c r="L359" s="19">
        <f>SUM(F359:K359)</f>
        <v>139495.99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127539.15</v>
      </c>
      <c r="G360" s="18">
        <v>91993.61</v>
      </c>
      <c r="H360" s="18">
        <v>10771.77</v>
      </c>
      <c r="I360" s="18">
        <v>168004.82</v>
      </c>
      <c r="J360" s="18"/>
      <c r="K360" s="18"/>
      <c r="L360" s="19">
        <f>SUM(F360:K360)</f>
        <v>398309.35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280923.23</v>
      </c>
      <c r="G362" s="47">
        <f t="shared" si="22"/>
        <v>202629.08000000002</v>
      </c>
      <c r="H362" s="47">
        <f t="shared" si="22"/>
        <v>23726.36</v>
      </c>
      <c r="I362" s="47">
        <f t="shared" si="22"/>
        <v>370054.66000000003</v>
      </c>
      <c r="J362" s="47">
        <f t="shared" si="22"/>
        <v>0</v>
      </c>
      <c r="K362" s="47">
        <f t="shared" si="22"/>
        <v>0</v>
      </c>
      <c r="L362" s="47">
        <f t="shared" si="22"/>
        <v>877333.33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132913.60999999999</v>
      </c>
      <c r="G367" s="18">
        <v>54607.91</v>
      </c>
      <c r="H367" s="18">
        <v>155924.49</v>
      </c>
      <c r="I367" s="56">
        <f>SUM(F367:H367)</f>
        <v>343446.01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10297.540000000001</v>
      </c>
      <c r="G368" s="63">
        <v>4230.7780000000002</v>
      </c>
      <c r="H368" s="63">
        <v>12080.33</v>
      </c>
      <c r="I368" s="56">
        <f>SUM(F368:H368)</f>
        <v>26608.648000000001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143211.15</v>
      </c>
      <c r="G369" s="47">
        <f>SUM(G367:G368)</f>
        <v>58838.688000000002</v>
      </c>
      <c r="H369" s="47">
        <f>SUM(H367:H368)</f>
        <v>168004.81999999998</v>
      </c>
      <c r="I369" s="47">
        <f>SUM(I367:I368)</f>
        <v>370054.658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174000</v>
      </c>
      <c r="H390" s="18">
        <v>29.97</v>
      </c>
      <c r="I390" s="18"/>
      <c r="J390" s="24" t="s">
        <v>289</v>
      </c>
      <c r="K390" s="24" t="s">
        <v>289</v>
      </c>
      <c r="L390" s="56">
        <f t="shared" si="25"/>
        <v>174029.97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v>7.78</v>
      </c>
      <c r="I392" s="18"/>
      <c r="J392" s="24" t="s">
        <v>289</v>
      </c>
      <c r="K392" s="24" t="s">
        <v>289</v>
      </c>
      <c r="L392" s="56">
        <f t="shared" si="25"/>
        <v>7.78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174000</v>
      </c>
      <c r="H393" s="139">
        <f>SUM(H387:H392)</f>
        <v>37.75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174037.75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81429</v>
      </c>
      <c r="H396" s="18">
        <v>179.93</v>
      </c>
      <c r="I396" s="18"/>
      <c r="J396" s="24" t="s">
        <v>289</v>
      </c>
      <c r="K396" s="24" t="s">
        <v>289</v>
      </c>
      <c r="L396" s="56">
        <f t="shared" si="26"/>
        <v>81608.929999999993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100000</v>
      </c>
      <c r="H397" s="18">
        <v>88.61</v>
      </c>
      <c r="I397" s="18"/>
      <c r="J397" s="24" t="s">
        <v>289</v>
      </c>
      <c r="K397" s="24" t="s">
        <v>289</v>
      </c>
      <c r="L397" s="56">
        <f t="shared" si="26"/>
        <v>100088.61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>
        <v>11.54</v>
      </c>
      <c r="I398" s="18"/>
      <c r="J398" s="24" t="s">
        <v>289</v>
      </c>
      <c r="K398" s="24" t="s">
        <v>289</v>
      </c>
      <c r="L398" s="56">
        <f t="shared" si="26"/>
        <v>11.54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181429</v>
      </c>
      <c r="H401" s="47">
        <f>SUM(H395:H400)</f>
        <v>280.08000000000004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181709.08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>
        <v>0</v>
      </c>
      <c r="H403" s="18">
        <v>8.4499999999999993</v>
      </c>
      <c r="I403" s="18"/>
      <c r="J403" s="24" t="s">
        <v>289</v>
      </c>
      <c r="K403" s="24" t="s">
        <v>289</v>
      </c>
      <c r="L403" s="56">
        <f>SUM(F403:K403)</f>
        <v>8.4499999999999993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8.4499999999999993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8.4499999999999993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355429</v>
      </c>
      <c r="H408" s="47">
        <f>H393+H401+H407</f>
        <v>326.28000000000003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355755.27999999997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169068</v>
      </c>
      <c r="L416" s="56">
        <f t="shared" si="27"/>
        <v>169068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169068</v>
      </c>
      <c r="L419" s="47">
        <f t="shared" si="28"/>
        <v>169068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37445</v>
      </c>
      <c r="L422" s="56">
        <f t="shared" si="29"/>
        <v>37445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37445</v>
      </c>
      <c r="L427" s="47">
        <f t="shared" si="30"/>
        <v>37445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206513</v>
      </c>
      <c r="L434" s="47">
        <f t="shared" si="32"/>
        <v>206513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63758.42</v>
      </c>
      <c r="G439" s="18">
        <v>1159820.6599999999</v>
      </c>
      <c r="H439" s="18">
        <v>33405.75</v>
      </c>
      <c r="I439" s="56">
        <f t="shared" ref="I439:I445" si="33">SUM(F439:H439)</f>
        <v>1256984.8299999998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63758.42</v>
      </c>
      <c r="G446" s="13">
        <f>SUM(G439:G445)</f>
        <v>1159820.6599999999</v>
      </c>
      <c r="H446" s="13">
        <f>SUM(H439:H445)</f>
        <v>33405.75</v>
      </c>
      <c r="I446" s="13">
        <f>SUM(I439:I445)</f>
        <v>1256984.8299999998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63758.42</v>
      </c>
      <c r="G459" s="18">
        <v>1159820.6599999999</v>
      </c>
      <c r="H459" s="18">
        <v>33405.75</v>
      </c>
      <c r="I459" s="56">
        <f t="shared" si="34"/>
        <v>1256984.8299999998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63758.42</v>
      </c>
      <c r="G460" s="83">
        <f>SUM(G454:G459)</f>
        <v>1159820.6599999999</v>
      </c>
      <c r="H460" s="83">
        <f>SUM(H454:H459)</f>
        <v>33405.75</v>
      </c>
      <c r="I460" s="83">
        <f>SUM(I454:I459)</f>
        <v>1256984.8299999998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63758.42</v>
      </c>
      <c r="G461" s="42">
        <f>G452+G460</f>
        <v>1159820.6599999999</v>
      </c>
      <c r="H461" s="42">
        <f>H452+H460</f>
        <v>33405.75</v>
      </c>
      <c r="I461" s="42">
        <f>I452+I460</f>
        <v>1256984.8299999998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945423.33</v>
      </c>
      <c r="G465" s="18">
        <v>68721.7</v>
      </c>
      <c r="H465" s="18">
        <v>82335.13</v>
      </c>
      <c r="I465" s="18"/>
      <c r="J465" s="18">
        <v>1107742.55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31286606.719999999</v>
      </c>
      <c r="G468" s="18">
        <v>883227.12</v>
      </c>
      <c r="H468" s="18">
        <v>1444372.83</v>
      </c>
      <c r="I468" s="18"/>
      <c r="J468" s="18">
        <v>355755.28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31286606.719999999</v>
      </c>
      <c r="G470" s="53">
        <f>SUM(G468:G469)</f>
        <v>883227.12</v>
      </c>
      <c r="H470" s="53">
        <f>SUM(H468:H469)</f>
        <v>1444372.83</v>
      </c>
      <c r="I470" s="53">
        <f>SUM(I468:I469)</f>
        <v>0</v>
      </c>
      <c r="J470" s="53">
        <f>SUM(J468:J469)</f>
        <v>355755.28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30734944.010000002</v>
      </c>
      <c r="G472" s="18">
        <v>877333.33</v>
      </c>
      <c r="H472" s="18">
        <v>1449153.58</v>
      </c>
      <c r="I472" s="18"/>
      <c r="J472" s="18">
        <v>206513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3200.59</v>
      </c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30734944.010000002</v>
      </c>
      <c r="G474" s="53">
        <f>SUM(G472:G473)</f>
        <v>880533.91999999993</v>
      </c>
      <c r="H474" s="53">
        <f>SUM(H472:H473)</f>
        <v>1449153.58</v>
      </c>
      <c r="I474" s="53">
        <f>SUM(I472:I473)</f>
        <v>0</v>
      </c>
      <c r="J474" s="53">
        <f>SUM(J472:J473)</f>
        <v>206513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1497086.0399999954</v>
      </c>
      <c r="G476" s="53">
        <f>(G465+G470)- G474</f>
        <v>71414.900000000023</v>
      </c>
      <c r="H476" s="53">
        <f>(H465+H470)- H474</f>
        <v>77554.379999999888</v>
      </c>
      <c r="I476" s="53">
        <f>(I465+I470)- I474</f>
        <v>0</v>
      </c>
      <c r="J476" s="53">
        <f>(J465+J470)- J474</f>
        <v>1256984.83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42120000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20310000</v>
      </c>
      <c r="G495" s="18"/>
      <c r="H495" s="18"/>
      <c r="I495" s="18"/>
      <c r="J495" s="18"/>
      <c r="K495" s="53">
        <f>SUM(F495:J495)</f>
        <v>20310000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1850000</v>
      </c>
      <c r="G497" s="18"/>
      <c r="H497" s="18"/>
      <c r="I497" s="18"/>
      <c r="J497" s="18"/>
      <c r="K497" s="53">
        <f t="shared" si="35"/>
        <v>1850000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18460000</v>
      </c>
      <c r="G498" s="204"/>
      <c r="H498" s="204"/>
      <c r="I498" s="204"/>
      <c r="J498" s="204"/>
      <c r="K498" s="205">
        <f t="shared" si="35"/>
        <v>18460000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4247050.76</v>
      </c>
      <c r="G499" s="18"/>
      <c r="H499" s="18"/>
      <c r="I499" s="18"/>
      <c r="J499" s="18"/>
      <c r="K499" s="53">
        <f t="shared" si="35"/>
        <v>4247050.76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22707050.759999998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22707050.759999998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1850000</v>
      </c>
      <c r="G501" s="204"/>
      <c r="H501" s="204"/>
      <c r="I501" s="204"/>
      <c r="J501" s="204"/>
      <c r="K501" s="205">
        <f t="shared" si="35"/>
        <v>1850000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810225</v>
      </c>
      <c r="G502" s="18"/>
      <c r="H502" s="18"/>
      <c r="I502" s="18"/>
      <c r="J502" s="18"/>
      <c r="K502" s="53">
        <f t="shared" si="35"/>
        <v>810225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2660225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2660225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1105304.3899999999</v>
      </c>
      <c r="G521" s="18">
        <v>741512.47</v>
      </c>
      <c r="H521" s="18">
        <v>712279.7</v>
      </c>
      <c r="I521" s="18">
        <v>12070.8</v>
      </c>
      <c r="J521" s="18">
        <v>5768.02</v>
      </c>
      <c r="K521" s="18"/>
      <c r="L521" s="88">
        <f>SUM(F521:K521)</f>
        <v>2576935.3799999994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437450.97</v>
      </c>
      <c r="G522" s="18">
        <v>306568.34000000003</v>
      </c>
      <c r="H522" s="18">
        <v>333851.45</v>
      </c>
      <c r="I522" s="18">
        <v>9750.33</v>
      </c>
      <c r="J522" s="18">
        <v>2394.4499999999998</v>
      </c>
      <c r="K522" s="18"/>
      <c r="L522" s="88">
        <f>SUM(F522:K522)</f>
        <v>1090015.54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682812.96</v>
      </c>
      <c r="G523" s="18">
        <v>503369.03</v>
      </c>
      <c r="H523" s="18">
        <v>357486.19</v>
      </c>
      <c r="I523" s="18">
        <v>5359.85</v>
      </c>
      <c r="J523" s="18">
        <v>3128.64</v>
      </c>
      <c r="K523" s="18"/>
      <c r="L523" s="88">
        <f>SUM(F523:K523)</f>
        <v>1552156.67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2225568.3199999998</v>
      </c>
      <c r="G524" s="108">
        <f t="shared" ref="G524:L524" si="36">SUM(G521:G523)</f>
        <v>1551449.84</v>
      </c>
      <c r="H524" s="108">
        <f t="shared" si="36"/>
        <v>1403617.3399999999</v>
      </c>
      <c r="I524" s="108">
        <f t="shared" si="36"/>
        <v>27180.979999999996</v>
      </c>
      <c r="J524" s="108">
        <f t="shared" si="36"/>
        <v>11291.11</v>
      </c>
      <c r="K524" s="108">
        <f t="shared" si="36"/>
        <v>0</v>
      </c>
      <c r="L524" s="89">
        <f t="shared" si="36"/>
        <v>5219107.59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164818.46</v>
      </c>
      <c r="G526" s="18">
        <v>114163.36</v>
      </c>
      <c r="H526" s="18">
        <v>244141.07</v>
      </c>
      <c r="I526" s="18">
        <v>933.62</v>
      </c>
      <c r="J526" s="18"/>
      <c r="K526" s="18"/>
      <c r="L526" s="88">
        <f>SUM(F526:K526)</f>
        <v>524056.51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54621.89</v>
      </c>
      <c r="G527" s="18">
        <v>27433.7</v>
      </c>
      <c r="H527" s="18">
        <v>1140.42</v>
      </c>
      <c r="I527" s="18"/>
      <c r="J527" s="18"/>
      <c r="K527" s="18"/>
      <c r="L527" s="88">
        <f>SUM(F527:K527)</f>
        <v>83196.009999999995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174369.32</v>
      </c>
      <c r="G528" s="18">
        <v>101392.72</v>
      </c>
      <c r="H528" s="18">
        <v>4652.08</v>
      </c>
      <c r="I528" s="18">
        <v>390.49</v>
      </c>
      <c r="J528" s="18"/>
      <c r="K528" s="18"/>
      <c r="L528" s="88">
        <f>SUM(F528:K528)</f>
        <v>280804.61000000004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393809.67</v>
      </c>
      <c r="G529" s="89">
        <f t="shared" ref="G529:L529" si="37">SUM(G526:G528)</f>
        <v>242989.78</v>
      </c>
      <c r="H529" s="89">
        <f t="shared" si="37"/>
        <v>249933.57</v>
      </c>
      <c r="I529" s="89">
        <f t="shared" si="37"/>
        <v>1324.1100000000001</v>
      </c>
      <c r="J529" s="89">
        <f t="shared" si="37"/>
        <v>0</v>
      </c>
      <c r="K529" s="89">
        <f t="shared" si="37"/>
        <v>0</v>
      </c>
      <c r="L529" s="89">
        <f t="shared" si="37"/>
        <v>888057.13000000012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56598.75</v>
      </c>
      <c r="I531" s="18"/>
      <c r="J531" s="18"/>
      <c r="K531" s="18"/>
      <c r="L531" s="88">
        <f>SUM(F531:K531)</f>
        <v>56598.75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23253.75</v>
      </c>
      <c r="I532" s="18"/>
      <c r="J532" s="18"/>
      <c r="K532" s="18"/>
      <c r="L532" s="88">
        <f>SUM(F532:K532)</f>
        <v>23253.75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66397.5</v>
      </c>
      <c r="I533" s="18"/>
      <c r="J533" s="18"/>
      <c r="K533" s="18"/>
      <c r="L533" s="88">
        <f>SUM(F533:K533)</f>
        <v>66397.5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146250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146250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26902.93</v>
      </c>
      <c r="G541" s="18">
        <v>12722.88</v>
      </c>
      <c r="H541" s="18">
        <v>47323.76</v>
      </c>
      <c r="I541" s="18"/>
      <c r="J541" s="18"/>
      <c r="K541" s="18"/>
      <c r="L541" s="88">
        <f>SUM(F541:K541)</f>
        <v>86949.57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3587.06</v>
      </c>
      <c r="G542" s="18">
        <v>1696.39</v>
      </c>
      <c r="H542" s="18">
        <v>2237.39</v>
      </c>
      <c r="I542" s="18"/>
      <c r="J542" s="18"/>
      <c r="K542" s="18"/>
      <c r="L542" s="88">
        <f>SUM(F542:K542)</f>
        <v>7520.84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5380.59</v>
      </c>
      <c r="G543" s="18">
        <v>2544.58</v>
      </c>
      <c r="H543" s="18">
        <v>4495.63</v>
      </c>
      <c r="I543" s="18"/>
      <c r="J543" s="18"/>
      <c r="K543" s="18"/>
      <c r="L543" s="88">
        <f>SUM(F543:K543)</f>
        <v>12420.8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35870.58</v>
      </c>
      <c r="G544" s="193">
        <f t="shared" ref="G544:L544" si="40">SUM(G541:G543)</f>
        <v>16963.849999999999</v>
      </c>
      <c r="H544" s="193">
        <f t="shared" si="40"/>
        <v>54056.78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106891.21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2655248.5699999998</v>
      </c>
      <c r="G545" s="89">
        <f t="shared" ref="G545:L545" si="41">G524+G529+G534+G539+G544</f>
        <v>1811403.4700000002</v>
      </c>
      <c r="H545" s="89">
        <f t="shared" si="41"/>
        <v>1853857.69</v>
      </c>
      <c r="I545" s="89">
        <f t="shared" si="41"/>
        <v>28505.089999999997</v>
      </c>
      <c r="J545" s="89">
        <f t="shared" si="41"/>
        <v>11291.11</v>
      </c>
      <c r="K545" s="89">
        <f t="shared" si="41"/>
        <v>0</v>
      </c>
      <c r="L545" s="89">
        <f t="shared" si="41"/>
        <v>6360305.9299999997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2576935.3799999994</v>
      </c>
      <c r="G549" s="87">
        <f>L526</f>
        <v>524056.51</v>
      </c>
      <c r="H549" s="87">
        <f>L531</f>
        <v>56598.75</v>
      </c>
      <c r="I549" s="87">
        <f>L536</f>
        <v>0</v>
      </c>
      <c r="J549" s="87">
        <f>L541</f>
        <v>86949.57</v>
      </c>
      <c r="K549" s="87">
        <f>SUM(F549:J549)</f>
        <v>3244540.2099999995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1090015.54</v>
      </c>
      <c r="G550" s="87">
        <f>L527</f>
        <v>83196.009999999995</v>
      </c>
      <c r="H550" s="87">
        <f>L532</f>
        <v>23253.75</v>
      </c>
      <c r="I550" s="87">
        <f>L537</f>
        <v>0</v>
      </c>
      <c r="J550" s="87">
        <f>L542</f>
        <v>7520.84</v>
      </c>
      <c r="K550" s="87">
        <f>SUM(F550:J550)</f>
        <v>1203986.1400000001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1552156.67</v>
      </c>
      <c r="G551" s="87">
        <f>L528</f>
        <v>280804.61000000004</v>
      </c>
      <c r="H551" s="87">
        <f>L533</f>
        <v>66397.5</v>
      </c>
      <c r="I551" s="87">
        <f>L538</f>
        <v>0</v>
      </c>
      <c r="J551" s="87">
        <f>L543</f>
        <v>12420.8</v>
      </c>
      <c r="K551" s="87">
        <f>SUM(F551:J551)</f>
        <v>1911779.58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5219107.59</v>
      </c>
      <c r="G552" s="89">
        <f t="shared" si="42"/>
        <v>888057.13000000012</v>
      </c>
      <c r="H552" s="89">
        <f t="shared" si="42"/>
        <v>146250</v>
      </c>
      <c r="I552" s="89">
        <f t="shared" si="42"/>
        <v>0</v>
      </c>
      <c r="J552" s="89">
        <f t="shared" si="42"/>
        <v>106891.21</v>
      </c>
      <c r="K552" s="89">
        <f t="shared" si="42"/>
        <v>6360305.9299999997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25900</v>
      </c>
      <c r="I576" s="87">
        <f t="shared" ref="I576:I587" si="47">SUM(F576:H576)</f>
        <v>25900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20381.13</v>
      </c>
      <c r="H579" s="18"/>
      <c r="I579" s="87">
        <f t="shared" si="47"/>
        <v>20381.13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511746.15</v>
      </c>
      <c r="G582" s="18">
        <v>86083.13</v>
      </c>
      <c r="H582" s="18">
        <v>189939.07</v>
      </c>
      <c r="I582" s="87">
        <f t="shared" si="47"/>
        <v>787768.35000000009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v>225260.22</v>
      </c>
      <c r="H583" s="18">
        <v>137472.82999999999</v>
      </c>
      <c r="I583" s="87">
        <f t="shared" si="47"/>
        <v>362733.05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189208.67</v>
      </c>
      <c r="I591" s="18">
        <v>90707.61</v>
      </c>
      <c r="J591" s="18">
        <v>269284.94</v>
      </c>
      <c r="K591" s="104">
        <f t="shared" ref="K591:K597" si="48">SUM(H591:J591)</f>
        <v>549201.22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86949.57</v>
      </c>
      <c r="I592" s="18">
        <v>7520.84</v>
      </c>
      <c r="J592" s="18">
        <v>12420.8</v>
      </c>
      <c r="K592" s="104">
        <f t="shared" si="48"/>
        <v>106891.21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8575.51</v>
      </c>
      <c r="J594" s="18">
        <v>41743.9</v>
      </c>
      <c r="K594" s="104">
        <f t="shared" si="48"/>
        <v>50319.41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21917.42</v>
      </c>
      <c r="I595" s="18">
        <v>2820.64</v>
      </c>
      <c r="J595" s="18">
        <v>2992.72</v>
      </c>
      <c r="K595" s="104">
        <f t="shared" si="48"/>
        <v>27730.78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17757.88</v>
      </c>
      <c r="I597" s="18"/>
      <c r="J597" s="18"/>
      <c r="K597" s="104">
        <f t="shared" si="48"/>
        <v>17757.88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315833.53999999998</v>
      </c>
      <c r="I598" s="108">
        <f>SUM(I591:I597)</f>
        <v>109624.59999999999</v>
      </c>
      <c r="J598" s="108">
        <f>SUM(J591:J597)</f>
        <v>326442.36</v>
      </c>
      <c r="K598" s="108">
        <f>SUM(K591:K597)</f>
        <v>751900.5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190166.79</v>
      </c>
      <c r="I604" s="18">
        <v>108738</v>
      </c>
      <c r="J604" s="18">
        <v>282892.28000000003</v>
      </c>
      <c r="K604" s="104">
        <f>SUM(H604:J604)</f>
        <v>581797.07000000007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190166.79</v>
      </c>
      <c r="I605" s="108">
        <f>SUM(I602:I604)</f>
        <v>108738</v>
      </c>
      <c r="J605" s="108">
        <f>SUM(J602:J604)</f>
        <v>282892.28000000003</v>
      </c>
      <c r="K605" s="108">
        <f>SUM(K602:K604)</f>
        <v>581797.07000000007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5040</v>
      </c>
      <c r="G612" s="18">
        <v>953.94</v>
      </c>
      <c r="H612" s="18"/>
      <c r="I612" s="18"/>
      <c r="J612" s="18"/>
      <c r="K612" s="18"/>
      <c r="L612" s="88">
        <f>SUM(F612:K612)</f>
        <v>5993.9400000000005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9100</v>
      </c>
      <c r="G613" s="18">
        <v>1278.8699999999999</v>
      </c>
      <c r="H613" s="18"/>
      <c r="I613" s="18"/>
      <c r="J613" s="18"/>
      <c r="K613" s="18"/>
      <c r="L613" s="88">
        <f>SUM(F613:K613)</f>
        <v>10378.869999999999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14140</v>
      </c>
      <c r="G614" s="108">
        <f t="shared" si="49"/>
        <v>2232.81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16372.81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1647582.52</v>
      </c>
      <c r="H617" s="109">
        <f>SUM(F52)</f>
        <v>1647582.52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552978.33000000007</v>
      </c>
      <c r="H618" s="109">
        <f>SUM(G52)</f>
        <v>552978.32999999996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282195.89</v>
      </c>
      <c r="H619" s="109">
        <f>SUM(H52)</f>
        <v>282195.89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1256984.8299999998</v>
      </c>
      <c r="H621" s="109">
        <f>SUM(J52)</f>
        <v>1256984.8299999998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1497086.04</v>
      </c>
      <c r="H622" s="109">
        <f>F476</f>
        <v>1497086.0399999954</v>
      </c>
      <c r="I622" s="121" t="s">
        <v>101</v>
      </c>
      <c r="J622" s="109">
        <f t="shared" ref="J622:J655" si="50">G622-H622</f>
        <v>4.6566128730773926E-9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71414.899999999994</v>
      </c>
      <c r="H623" s="109">
        <f>G476</f>
        <v>71414.900000000023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77554.38</v>
      </c>
      <c r="H624" s="109">
        <f>H476</f>
        <v>77554.379999999888</v>
      </c>
      <c r="I624" s="121" t="s">
        <v>103</v>
      </c>
      <c r="J624" s="109">
        <f t="shared" si="50"/>
        <v>1.1641532182693481E-10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1256984.8299999998</v>
      </c>
      <c r="H626" s="109">
        <f>J476</f>
        <v>1256984.83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31286606.719999999</v>
      </c>
      <c r="H627" s="104">
        <f>SUM(F468)</f>
        <v>31286606.719999999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883227.12</v>
      </c>
      <c r="H628" s="104">
        <f>SUM(G468)</f>
        <v>883227.12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1444372.83</v>
      </c>
      <c r="H629" s="104">
        <f>SUM(H468)</f>
        <v>1444372.83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355755.28</v>
      </c>
      <c r="H631" s="104">
        <f>SUM(J468)</f>
        <v>355755.28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30734944.009999998</v>
      </c>
      <c r="H632" s="104">
        <f>SUM(F472)</f>
        <v>30734944.010000002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1449153.58</v>
      </c>
      <c r="H633" s="104">
        <f>SUM(H472)</f>
        <v>1449153.58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370054.66000000003</v>
      </c>
      <c r="H634" s="104">
        <f>I369</f>
        <v>370054.658</v>
      </c>
      <c r="I634" s="143" t="s">
        <v>248</v>
      </c>
      <c r="J634" s="109">
        <f>G634-H634</f>
        <v>2.0000000367872417E-3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877333.33</v>
      </c>
      <c r="H635" s="104">
        <f>SUM(G472)</f>
        <v>877333.33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355755.27999999997</v>
      </c>
      <c r="H637" s="164">
        <f>SUM(J468)</f>
        <v>355755.28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206513</v>
      </c>
      <c r="H638" s="164">
        <f>SUM(J472)</f>
        <v>206513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63758.42</v>
      </c>
      <c r="H639" s="104">
        <f>SUM(F461)</f>
        <v>63758.42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1159820.6599999999</v>
      </c>
      <c r="H640" s="104">
        <f>SUM(G461)</f>
        <v>1159820.6599999999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33405.75</v>
      </c>
      <c r="H641" s="104">
        <f>SUM(H461)</f>
        <v>33405.75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1256984.8299999998</v>
      </c>
      <c r="H642" s="104">
        <f>SUM(I461)</f>
        <v>1256984.8299999998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326.27999999999997</v>
      </c>
      <c r="H644" s="104">
        <f>H408</f>
        <v>326.28000000000003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355429</v>
      </c>
      <c r="H645" s="104">
        <f>G408</f>
        <v>355429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355755.28</v>
      </c>
      <c r="H646" s="104">
        <f>L408</f>
        <v>355755.27999999997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751900.5</v>
      </c>
      <c r="H647" s="104">
        <f>L208+L226+L244</f>
        <v>751900.5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581797.07000000007</v>
      </c>
      <c r="H648" s="104">
        <f>(J257+J338)-(J255+J336)</f>
        <v>581797.06999999995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315833.53999999998</v>
      </c>
      <c r="H649" s="104">
        <f>H598</f>
        <v>315833.53999999998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109624.6</v>
      </c>
      <c r="H650" s="104">
        <f>I598</f>
        <v>109624.59999999999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326442.36</v>
      </c>
      <c r="H651" s="104">
        <f>J598</f>
        <v>326442.36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355429</v>
      </c>
      <c r="H655" s="104">
        <f>K266+K347</f>
        <v>355429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1.9999891519546509E-3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12405217.699999999</v>
      </c>
      <c r="G660" s="19">
        <f>(L229+L309+L359)</f>
        <v>5251795.96</v>
      </c>
      <c r="H660" s="19">
        <f>(L247+L328+L360)</f>
        <v>12260883.499999998</v>
      </c>
      <c r="I660" s="19">
        <f>SUM(F660:H660)</f>
        <v>29917897.159999996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142890.70601438751</v>
      </c>
      <c r="G661" s="19">
        <f>(L359/IF(SUM(L358:L360)=0,1,SUM(L358:L360))*(SUM(G97:G110)))</f>
        <v>58707.031774540701</v>
      </c>
      <c r="H661" s="19">
        <f>(L360/IF(SUM(L358:L360)=0,1,SUM(L358:L360))*(SUM(G97:G110)))</f>
        <v>167628.90221107181</v>
      </c>
      <c r="I661" s="19">
        <f>SUM(F661:H661)</f>
        <v>369226.64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267721.08999999997</v>
      </c>
      <c r="G662" s="19">
        <f>(L226+L306)-(J226+J306)</f>
        <v>82742.790000000008</v>
      </c>
      <c r="H662" s="19">
        <f>(L244+L325)-(J244+J325)</f>
        <v>253672.2</v>
      </c>
      <c r="I662" s="19">
        <f>SUM(F662:H662)</f>
        <v>604136.08000000007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701912.94000000006</v>
      </c>
      <c r="G663" s="199">
        <f>SUM(G575:G587)+SUM(I602:I604)+L612</f>
        <v>446456.42</v>
      </c>
      <c r="H663" s="199">
        <f>SUM(H575:H587)+SUM(J602:J604)+L613</f>
        <v>646583.05000000005</v>
      </c>
      <c r="I663" s="19">
        <f>SUM(F663:H663)</f>
        <v>1794952.4100000001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11292692.963985611</v>
      </c>
      <c r="G664" s="19">
        <f>G660-SUM(G661:G663)</f>
        <v>4663889.7182254596</v>
      </c>
      <c r="H664" s="19">
        <f>H660-SUM(H661:H663)</f>
        <v>11192999.347788926</v>
      </c>
      <c r="I664" s="19">
        <f>I660-SUM(I661:I663)</f>
        <v>27149582.029999997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717.75</v>
      </c>
      <c r="G665" s="248">
        <v>295.13</v>
      </c>
      <c r="H665" s="248">
        <v>819.07</v>
      </c>
      <c r="I665" s="19">
        <f>SUM(F665:H665)</f>
        <v>1831.95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15733.46</v>
      </c>
      <c r="G667" s="19">
        <f>ROUND(G664/G665,2)</f>
        <v>15802.83</v>
      </c>
      <c r="H667" s="19">
        <f>ROUND(H664/H665,2)</f>
        <v>13665.5</v>
      </c>
      <c r="I667" s="19">
        <f>ROUND(I664/I665,2)</f>
        <v>14820.05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15733.46</v>
      </c>
      <c r="G672" s="19">
        <f>ROUND((G664+G669)/(G665+G670),2)</f>
        <v>15802.83</v>
      </c>
      <c r="H672" s="19">
        <f>ROUND((H664+H669)/(H665+H670),2)</f>
        <v>13665.5</v>
      </c>
      <c r="I672" s="19">
        <f>ROUND((I664+I669)/(I665+I670),2)</f>
        <v>14820.05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         CONWAY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6767794.8700000001</v>
      </c>
      <c r="C9" s="229">
        <f>'DOE25'!G197+'DOE25'!G215+'DOE25'!G233+'DOE25'!G276+'DOE25'!G295+'DOE25'!G314</f>
        <v>4704825.9700000007</v>
      </c>
    </row>
    <row r="10" spans="1:3" x14ac:dyDescent="0.2">
      <c r="A10" t="s">
        <v>779</v>
      </c>
      <c r="B10" s="240">
        <f>6767794.87-783412.12</f>
        <v>5984382.75</v>
      </c>
      <c r="C10" s="240">
        <f>4704825.97-286697.3</f>
        <v>4418128.67</v>
      </c>
    </row>
    <row r="11" spans="1:3" x14ac:dyDescent="0.2">
      <c r="A11" t="s">
        <v>780</v>
      </c>
      <c r="B11" s="240">
        <v>242356.36</v>
      </c>
      <c r="C11" s="240">
        <v>154138.64000000001</v>
      </c>
    </row>
    <row r="12" spans="1:3" x14ac:dyDescent="0.2">
      <c r="A12" t="s">
        <v>781</v>
      </c>
      <c r="B12" s="240">
        <v>541055.76</v>
      </c>
      <c r="C12" s="240">
        <v>132558.66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6767794.8700000001</v>
      </c>
      <c r="C13" s="231">
        <f>SUM(C10:C12)</f>
        <v>4704825.97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2225568.3199999998</v>
      </c>
      <c r="C18" s="229">
        <f>'DOE25'!G198+'DOE25'!G216+'DOE25'!G234+'DOE25'!G277+'DOE25'!G296+'DOE25'!G315</f>
        <v>1551449.8399999999</v>
      </c>
    </row>
    <row r="19" spans="1:3" x14ac:dyDescent="0.2">
      <c r="A19" t="s">
        <v>779</v>
      </c>
      <c r="B19" s="240">
        <v>1095574.6599999999</v>
      </c>
      <c r="C19" s="240">
        <v>713900.43</v>
      </c>
    </row>
    <row r="20" spans="1:3" x14ac:dyDescent="0.2">
      <c r="A20" t="s">
        <v>780</v>
      </c>
      <c r="B20" s="240">
        <v>1076478.1299999999</v>
      </c>
      <c r="C20" s="240">
        <v>832117.59</v>
      </c>
    </row>
    <row r="21" spans="1:3" x14ac:dyDescent="0.2">
      <c r="A21" t="s">
        <v>781</v>
      </c>
      <c r="B21" s="240">
        <v>53515.53</v>
      </c>
      <c r="C21" s="240">
        <v>5431.82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2225568.3199999998</v>
      </c>
      <c r="C22" s="231">
        <f>SUM(C19:C21)</f>
        <v>1551449.84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467312.52</v>
      </c>
      <c r="C27" s="234">
        <f>'DOE25'!G199+'DOE25'!G217+'DOE25'!G235+'DOE25'!G278+'DOE25'!G297+'DOE25'!G316</f>
        <v>249312.85</v>
      </c>
    </row>
    <row r="28" spans="1:3" x14ac:dyDescent="0.2">
      <c r="A28" t="s">
        <v>779</v>
      </c>
      <c r="B28" s="240">
        <v>424107.5</v>
      </c>
      <c r="C28" s="240">
        <v>236423.82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43205.02</v>
      </c>
      <c r="C30" s="240">
        <v>12889.03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467312.52</v>
      </c>
      <c r="C31" s="231">
        <f>SUM(C28:C30)</f>
        <v>249312.85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418502.25</v>
      </c>
      <c r="C36" s="235">
        <f>'DOE25'!G200+'DOE25'!G218+'DOE25'!G236+'DOE25'!G279+'DOE25'!G298+'DOE25'!G317</f>
        <v>71100.92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418502.25</v>
      </c>
      <c r="C39" s="240">
        <v>71100.92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418502.25</v>
      </c>
      <c r="C40" s="231">
        <f>SUM(C37:C39)</f>
        <v>71100.92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3" activePane="bottomLeft" state="frozen"/>
      <selection activeCell="F46" sqref="F46"/>
      <selection pane="bottomLeft" activeCell="D41" sqref="D4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         CONWAY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17884579.609999999</v>
      </c>
      <c r="D5" s="20">
        <f>SUM('DOE25'!L197:L200)+SUM('DOE25'!L215:L218)+SUM('DOE25'!L233:L236)-F5-G5</f>
        <v>17668281.459999997</v>
      </c>
      <c r="E5" s="243"/>
      <c r="F5" s="255">
        <f>SUM('DOE25'!J197:J200)+SUM('DOE25'!J215:J218)+SUM('DOE25'!J233:J236)</f>
        <v>203957.97999999998</v>
      </c>
      <c r="G5" s="53">
        <f>SUM('DOE25'!K197:K200)+SUM('DOE25'!K215:K218)+SUM('DOE25'!K233:K236)</f>
        <v>12340.17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2180770.8199999998</v>
      </c>
      <c r="D6" s="20">
        <f>'DOE25'!L202+'DOE25'!L220+'DOE25'!L238-F6-G6</f>
        <v>2179080.2199999997</v>
      </c>
      <c r="E6" s="243"/>
      <c r="F6" s="255">
        <f>'DOE25'!J202+'DOE25'!J220+'DOE25'!J238</f>
        <v>1590.6</v>
      </c>
      <c r="G6" s="53">
        <f>'DOE25'!K202+'DOE25'!K220+'DOE25'!K238</f>
        <v>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517987.48</v>
      </c>
      <c r="D7" s="20">
        <f>'DOE25'!L203+'DOE25'!L221+'DOE25'!L239-F7-G7</f>
        <v>446219.02999999997</v>
      </c>
      <c r="E7" s="243"/>
      <c r="F7" s="255">
        <f>'DOE25'!J203+'DOE25'!J221+'DOE25'!J239</f>
        <v>69029.45</v>
      </c>
      <c r="G7" s="53">
        <f>'DOE25'!K203+'DOE25'!K221+'DOE25'!K239</f>
        <v>2739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597926.70000000019</v>
      </c>
      <c r="D8" s="243"/>
      <c r="E8" s="20">
        <f>'DOE25'!L204+'DOE25'!L222+'DOE25'!L240-F8-G8-D9-D11</f>
        <v>592420.44000000018</v>
      </c>
      <c r="F8" s="255">
        <f>'DOE25'!J204+'DOE25'!J222+'DOE25'!J240</f>
        <v>0</v>
      </c>
      <c r="G8" s="53">
        <f>'DOE25'!K204+'DOE25'!K222+'DOE25'!K240</f>
        <v>5506.26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124939.08</v>
      </c>
      <c r="D9" s="244">
        <v>124939.08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18920</v>
      </c>
      <c r="D10" s="243"/>
      <c r="E10" s="244">
        <v>18920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234599.3</v>
      </c>
      <c r="D11" s="244">
        <v>234599.3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1629831.2799999998</v>
      </c>
      <c r="D12" s="20">
        <f>'DOE25'!L205+'DOE25'!L223+'DOE25'!L241-F12-G12</f>
        <v>1591756.8999999997</v>
      </c>
      <c r="E12" s="243"/>
      <c r="F12" s="255">
        <f>'DOE25'!J205+'DOE25'!J223+'DOE25'!J241</f>
        <v>16699.57</v>
      </c>
      <c r="G12" s="53">
        <f>'DOE25'!K205+'DOE25'!K223+'DOE25'!K241</f>
        <v>21374.81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3702106.67</v>
      </c>
      <c r="D14" s="20">
        <f>'DOE25'!L207+'DOE25'!L225+'DOE25'!L243-F14-G14</f>
        <v>3677851.58</v>
      </c>
      <c r="E14" s="243"/>
      <c r="F14" s="255">
        <f>'DOE25'!J207+'DOE25'!J225+'DOE25'!J243</f>
        <v>24255.090000000004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751900.5</v>
      </c>
      <c r="D15" s="20">
        <f>'DOE25'!L208+'DOE25'!L226+'DOE25'!L244-F15-G15</f>
        <v>582832.5</v>
      </c>
      <c r="E15" s="243"/>
      <c r="F15" s="255">
        <f>'DOE25'!J208+'DOE25'!J226+'DOE25'!J244</f>
        <v>169068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2149.0700000000002</v>
      </c>
      <c r="D16" s="243"/>
      <c r="E16" s="20">
        <f>'DOE25'!L209+'DOE25'!L227+'DOE25'!L245-F16-G16</f>
        <v>2149.0700000000002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2752724.5</v>
      </c>
      <c r="D25" s="243"/>
      <c r="E25" s="243"/>
      <c r="F25" s="258"/>
      <c r="G25" s="256"/>
      <c r="H25" s="257">
        <f>'DOE25'!L260+'DOE25'!L261+'DOE25'!L341+'DOE25'!L342</f>
        <v>2752724.5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533887.31999999995</v>
      </c>
      <c r="D29" s="20">
        <f>'DOE25'!L358+'DOE25'!L359+'DOE25'!L360-'DOE25'!I367-F29-G29</f>
        <v>533887.31999999995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1449153.58</v>
      </c>
      <c r="D31" s="20">
        <f>'DOE25'!L290+'DOE25'!L309+'DOE25'!L328+'DOE25'!L333+'DOE25'!L334+'DOE25'!L335-F31-G31</f>
        <v>1349738.33</v>
      </c>
      <c r="E31" s="243"/>
      <c r="F31" s="255">
        <f>'DOE25'!J290+'DOE25'!J309+'DOE25'!J328+'DOE25'!J333+'DOE25'!J334+'DOE25'!J335</f>
        <v>97196.38</v>
      </c>
      <c r="G31" s="53">
        <f>'DOE25'!K290+'DOE25'!K309+'DOE25'!K328+'DOE25'!K333+'DOE25'!K334+'DOE25'!K335</f>
        <v>2218.87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28389185.719999991</v>
      </c>
      <c r="E33" s="246">
        <f>SUM(E5:E31)</f>
        <v>613489.51000000013</v>
      </c>
      <c r="F33" s="246">
        <f>SUM(F5:F31)</f>
        <v>581797.07000000007</v>
      </c>
      <c r="G33" s="246">
        <f>SUM(G5:G31)</f>
        <v>44279.110000000008</v>
      </c>
      <c r="H33" s="246">
        <f>SUM(H5:H31)</f>
        <v>2752724.5</v>
      </c>
    </row>
    <row r="35" spans="2:8" ht="12" thickBot="1" x14ac:dyDescent="0.25">
      <c r="B35" s="253" t="s">
        <v>847</v>
      </c>
      <c r="D35" s="254">
        <f>E33</f>
        <v>613489.51000000013</v>
      </c>
      <c r="E35" s="249"/>
    </row>
    <row r="36" spans="2:8" ht="12" thickTop="1" x14ac:dyDescent="0.2">
      <c r="B36" t="s">
        <v>815</v>
      </c>
      <c r="D36" s="20">
        <f>D33</f>
        <v>28389185.719999991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43" activePane="bottomLeft" state="frozen"/>
      <selection activeCell="F46" sqref="F46"/>
      <selection pane="bottomLeft" activeCell="D23" sqref="D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         CONWAY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896094.27</v>
      </c>
      <c r="D8" s="95">
        <f>'DOE25'!G9</f>
        <v>405303.64</v>
      </c>
      <c r="E8" s="95">
        <f>'DOE25'!H9</f>
        <v>0</v>
      </c>
      <c r="F8" s="95">
        <f>'DOE25'!I9</f>
        <v>0</v>
      </c>
      <c r="G8" s="95">
        <f>'DOE25'!J9</f>
        <v>1256984.8299999998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683865.29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46830.38</v>
      </c>
      <c r="D12" s="95">
        <f>'DOE25'!G13</f>
        <v>125354.88</v>
      </c>
      <c r="E12" s="95">
        <f>'DOE25'!H13</f>
        <v>279575.89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20792.580000000002</v>
      </c>
      <c r="D13" s="95">
        <f>'DOE25'!G14</f>
        <v>769.04</v>
      </c>
      <c r="E13" s="95">
        <f>'DOE25'!H14</f>
        <v>2620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21550.77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1647582.52</v>
      </c>
      <c r="D18" s="41">
        <f>SUM(D8:D17)</f>
        <v>552978.33000000007</v>
      </c>
      <c r="E18" s="41">
        <f>SUM(E8:E17)</f>
        <v>282195.89</v>
      </c>
      <c r="F18" s="41">
        <f>SUM(F8:F17)</f>
        <v>0</v>
      </c>
      <c r="G18" s="41">
        <f>SUM(G8:G17)</f>
        <v>1256984.8299999998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481563.43</v>
      </c>
      <c r="E21" s="95">
        <f>'DOE25'!H22</f>
        <v>202301.86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62191.66</v>
      </c>
      <c r="D23" s="95">
        <f>'DOE25'!G24</f>
        <v>0</v>
      </c>
      <c r="E23" s="95">
        <f>'DOE25'!H24</f>
        <v>1838.97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87350.59</v>
      </c>
      <c r="D27" s="95">
        <f>'DOE25'!G28</f>
        <v>0</v>
      </c>
      <c r="E27" s="95">
        <f>'DOE25'!H28</f>
        <v>500.68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954.23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150496.48000000001</v>
      </c>
      <c r="D31" s="41">
        <f>SUM(D21:D30)</f>
        <v>481563.43</v>
      </c>
      <c r="E31" s="41">
        <f>SUM(E21:E30)</f>
        <v>204641.50999999998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21550.77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49864.12999999999</v>
      </c>
      <c r="E47" s="95">
        <f>'DOE25'!H48</f>
        <v>77554.38</v>
      </c>
      <c r="F47" s="95">
        <f>'DOE25'!I48</f>
        <v>0</v>
      </c>
      <c r="G47" s="95">
        <f>'DOE25'!J48</f>
        <v>1256984.8299999998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1497086.04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1497086.04</v>
      </c>
      <c r="D50" s="41">
        <f>SUM(D34:D49)</f>
        <v>71414.899999999994</v>
      </c>
      <c r="E50" s="41">
        <f>SUM(E34:E49)</f>
        <v>77554.38</v>
      </c>
      <c r="F50" s="41">
        <f>SUM(F34:F49)</f>
        <v>0</v>
      </c>
      <c r="G50" s="41">
        <f>SUM(G34:G49)</f>
        <v>1256984.8299999998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1647582.52</v>
      </c>
      <c r="D51" s="41">
        <f>D50+D31</f>
        <v>552978.32999999996</v>
      </c>
      <c r="E51" s="41">
        <f>E50+E31</f>
        <v>282195.89</v>
      </c>
      <c r="F51" s="41">
        <f>F50+F31</f>
        <v>0</v>
      </c>
      <c r="G51" s="41">
        <f>G50+G31</f>
        <v>1256984.8299999998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12660980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9538233.5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44160.09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2102.6799999999998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326.27999999999997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369226.64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535088.49</v>
      </c>
      <c r="D61" s="95">
        <f>SUM('DOE25'!G98:G110)</f>
        <v>0</v>
      </c>
      <c r="E61" s="95">
        <f>SUM('DOE25'!H98:H110)</f>
        <v>132659.76999999999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10119584.76</v>
      </c>
      <c r="D62" s="130">
        <f>SUM(D57:D61)</f>
        <v>369226.64</v>
      </c>
      <c r="E62" s="130">
        <f>SUM(E57:E61)</f>
        <v>132659.76999999999</v>
      </c>
      <c r="F62" s="130">
        <f>SUM(F57:F61)</f>
        <v>0</v>
      </c>
      <c r="G62" s="130">
        <f>SUM(G57:G61)</f>
        <v>326.27999999999997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22780564.759999998</v>
      </c>
      <c r="D63" s="22">
        <f>D56+D62</f>
        <v>369226.64</v>
      </c>
      <c r="E63" s="22">
        <f>E56+E62</f>
        <v>132659.76999999999</v>
      </c>
      <c r="F63" s="22">
        <f>F56+F62</f>
        <v>0</v>
      </c>
      <c r="G63" s="22">
        <f>G56+G62</f>
        <v>326.27999999999997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3166584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3464014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501.12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6631099.1200000001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1060664.0900000001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346142.99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11182.36</v>
      </c>
      <c r="E77" s="95">
        <f>SUM('DOE25'!H131:H135)</f>
        <v>39880.26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1406807.08</v>
      </c>
      <c r="D78" s="130">
        <f>SUM(D72:D77)</f>
        <v>11182.36</v>
      </c>
      <c r="E78" s="130">
        <f>SUM(E72:E77)</f>
        <v>39880.26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8037906.2000000002</v>
      </c>
      <c r="D81" s="130">
        <f>SUM(D79:D80)+D78+D70</f>
        <v>11182.36</v>
      </c>
      <c r="E81" s="130">
        <f>SUM(E79:E80)+E78+E70</f>
        <v>39880.26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260628.49</v>
      </c>
      <c r="D88" s="95">
        <f>SUM('DOE25'!G153:G161)</f>
        <v>502818.12</v>
      </c>
      <c r="E88" s="95">
        <f>SUM('DOE25'!H153:H161)</f>
        <v>1271832.8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994.27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261622.75999999998</v>
      </c>
      <c r="D91" s="131">
        <f>SUM(D85:D90)</f>
        <v>502818.12</v>
      </c>
      <c r="E91" s="131">
        <f>SUM(E85:E90)</f>
        <v>1271832.8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355429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169068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37445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206513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355429</v>
      </c>
    </row>
    <row r="104" spans="1:7" ht="12.75" thickTop="1" thickBot="1" x14ac:dyDescent="0.25">
      <c r="A104" s="33" t="s">
        <v>765</v>
      </c>
      <c r="C104" s="86">
        <f>C63+C81+C91+C103</f>
        <v>31286606.719999999</v>
      </c>
      <c r="D104" s="86">
        <f>D63+D81+D91+D103</f>
        <v>883227.12</v>
      </c>
      <c r="E104" s="86">
        <f>E63+E81+E91+E103</f>
        <v>1444372.83</v>
      </c>
      <c r="F104" s="86">
        <f>F63+F81+F91+F103</f>
        <v>0</v>
      </c>
      <c r="G104" s="86">
        <f>G63+G81+G103</f>
        <v>355755.28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11469968.109999999</v>
      </c>
      <c r="D109" s="24" t="s">
        <v>289</v>
      </c>
      <c r="E109" s="95">
        <f>('DOE25'!L276)+('DOE25'!L295)+('DOE25'!L314)</f>
        <v>686474.42999999993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5156612.22</v>
      </c>
      <c r="D110" s="24" t="s">
        <v>289</v>
      </c>
      <c r="E110" s="95">
        <f>('DOE25'!L277)+('DOE25'!L296)+('DOE25'!L315)</f>
        <v>62495.37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795198.06</v>
      </c>
      <c r="D111" s="24" t="s">
        <v>289</v>
      </c>
      <c r="E111" s="95">
        <f>('DOE25'!L278)+('DOE25'!L297)+('DOE25'!L316)</f>
        <v>72463.460000000006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462801.22</v>
      </c>
      <c r="D112" s="24" t="s">
        <v>289</v>
      </c>
      <c r="E112" s="95">
        <f>+('DOE25'!L279)+('DOE25'!L298)+('DOE25'!L317)</f>
        <v>214472.20999999996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35380.26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17884579.609999996</v>
      </c>
      <c r="D115" s="86">
        <f>SUM(D109:D114)</f>
        <v>0</v>
      </c>
      <c r="E115" s="86">
        <f>SUM(E109:E114)</f>
        <v>1071285.7299999997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2180770.8199999998</v>
      </c>
      <c r="D118" s="24" t="s">
        <v>289</v>
      </c>
      <c r="E118" s="95">
        <f>+('DOE25'!L281)+('DOE25'!L300)+('DOE25'!L319)</f>
        <v>188384.13999999998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517987.48</v>
      </c>
      <c r="D119" s="24" t="s">
        <v>289</v>
      </c>
      <c r="E119" s="95">
        <f>+('DOE25'!L282)+('DOE25'!L301)+('DOE25'!L320)</f>
        <v>162230.13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957465.08000000007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1629831.2799999998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3702106.67</v>
      </c>
      <c r="D123" s="24" t="s">
        <v>289</v>
      </c>
      <c r="E123" s="95">
        <f>+('DOE25'!L286)+('DOE25'!L305)+('DOE25'!L324)</f>
        <v>5950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751900.5</v>
      </c>
      <c r="D124" s="24" t="s">
        <v>289</v>
      </c>
      <c r="E124" s="95">
        <f>+('DOE25'!L287)+('DOE25'!L306)+('DOE25'!L325)</f>
        <v>21303.579999999998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2149.0700000000002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877333.33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9742210.9000000004</v>
      </c>
      <c r="D128" s="86">
        <f>SUM(D118:D127)</f>
        <v>877333.33</v>
      </c>
      <c r="E128" s="86">
        <f>SUM(E118:E127)</f>
        <v>377867.85000000003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1850000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902724.5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206513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174037.75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181709.08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8.4499999999999993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-326.27999999996973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3108153.5000000005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206513</v>
      </c>
    </row>
    <row r="145" spans="1:9" ht="12.75" thickTop="1" thickBot="1" x14ac:dyDescent="0.25">
      <c r="A145" s="33" t="s">
        <v>244</v>
      </c>
      <c r="C145" s="86">
        <f>(C115+C128+C144)</f>
        <v>30734944.009999998</v>
      </c>
      <c r="D145" s="86">
        <f>(D115+D128+D144)</f>
        <v>877333.33</v>
      </c>
      <c r="E145" s="86">
        <f>(E115+E128+E144)</f>
        <v>1449153.5799999998</v>
      </c>
      <c r="F145" s="86">
        <f>(F115+F128+F144)</f>
        <v>0</v>
      </c>
      <c r="G145" s="86">
        <f>(G115+G128+G144)</f>
        <v>206513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1/2024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42120000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20310000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20310000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1850000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1850000</v>
      </c>
    </row>
    <row r="159" spans="1:9" x14ac:dyDescent="0.2">
      <c r="A159" s="22" t="s">
        <v>35</v>
      </c>
      <c r="B159" s="137">
        <f>'DOE25'!F498</f>
        <v>18460000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18460000</v>
      </c>
    </row>
    <row r="160" spans="1:9" x14ac:dyDescent="0.2">
      <c r="A160" s="22" t="s">
        <v>36</v>
      </c>
      <c r="B160" s="137">
        <f>'DOE25'!F499</f>
        <v>4247050.76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4247050.76</v>
      </c>
    </row>
    <row r="161" spans="1:7" x14ac:dyDescent="0.2">
      <c r="A161" s="22" t="s">
        <v>37</v>
      </c>
      <c r="B161" s="137">
        <f>'DOE25'!F500</f>
        <v>22707050.759999998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22707050.759999998</v>
      </c>
    </row>
    <row r="162" spans="1:7" x14ac:dyDescent="0.2">
      <c r="A162" s="22" t="s">
        <v>38</v>
      </c>
      <c r="B162" s="137">
        <f>'DOE25'!F501</f>
        <v>1850000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1850000</v>
      </c>
    </row>
    <row r="163" spans="1:7" x14ac:dyDescent="0.2">
      <c r="A163" s="22" t="s">
        <v>39</v>
      </c>
      <c r="B163" s="137">
        <f>'DOE25'!F502</f>
        <v>810225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810225</v>
      </c>
    </row>
    <row r="164" spans="1:7" x14ac:dyDescent="0.2">
      <c r="A164" s="22" t="s">
        <v>246</v>
      </c>
      <c r="B164" s="137">
        <f>'DOE25'!F503</f>
        <v>2660225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2660225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         CONWAY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15733</v>
      </c>
    </row>
    <row r="5" spans="1:4" x14ac:dyDescent="0.2">
      <c r="B5" t="s">
        <v>704</v>
      </c>
      <c r="C5" s="179">
        <f>IF('DOE25'!G665+'DOE25'!G670=0,0,ROUND('DOE25'!G672,0))</f>
        <v>15803</v>
      </c>
    </row>
    <row r="6" spans="1:4" x14ac:dyDescent="0.2">
      <c r="B6" t="s">
        <v>62</v>
      </c>
      <c r="C6" s="179">
        <f>IF('DOE25'!H665+'DOE25'!H670=0,0,ROUND('DOE25'!H672,0))</f>
        <v>13666</v>
      </c>
    </row>
    <row r="7" spans="1:4" x14ac:dyDescent="0.2">
      <c r="B7" t="s">
        <v>705</v>
      </c>
      <c r="C7" s="179">
        <f>IF('DOE25'!I665+'DOE25'!I670=0,0,ROUND('DOE25'!I672,0))</f>
        <v>14820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12156443</v>
      </c>
      <c r="D10" s="182">
        <f>ROUND((C10/$C$28)*100,1)</f>
        <v>39.9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5219108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867662</v>
      </c>
      <c r="D12" s="182">
        <f>ROUND((C12/$C$28)*100,1)</f>
        <v>2.8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677273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2369155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680218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959614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1629831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3708057</v>
      </c>
      <c r="D20" s="182">
        <f t="shared" si="0"/>
        <v>12.2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773204</v>
      </c>
      <c r="D21" s="182">
        <f t="shared" si="0"/>
        <v>2.5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35380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902725</v>
      </c>
      <c r="D25" s="182">
        <f t="shared" si="0"/>
        <v>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508106.36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30486776.359999999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30486776.359999999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1850000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12660980</v>
      </c>
      <c r="D35" s="182">
        <f t="shared" ref="D35:D40" si="1">ROUND((C35/$C$41)*100,1)</f>
        <v>38.299999999999997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10252570.809999999</v>
      </c>
      <c r="D36" s="182">
        <f t="shared" si="1"/>
        <v>31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6630598</v>
      </c>
      <c r="D37" s="182">
        <f t="shared" si="1"/>
        <v>20.100000000000001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1458371</v>
      </c>
      <c r="D38" s="182">
        <f t="shared" si="1"/>
        <v>4.4000000000000004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2036274</v>
      </c>
      <c r="D39" s="182">
        <f t="shared" si="1"/>
        <v>6.2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33038793.809999999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 xml:space="preserve">                          CONWAY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8"/>
      <c r="AO32" s="219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8"/>
      <c r="BB32" s="219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8"/>
      <c r="BO32" s="219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8"/>
      <c r="CB32" s="219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8"/>
      <c r="CO32" s="219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8"/>
      <c r="DB32" s="219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8"/>
      <c r="DO32" s="219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8"/>
      <c r="EB32" s="219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8"/>
      <c r="EO32" s="219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8"/>
      <c r="FB32" s="219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8"/>
      <c r="FO32" s="219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8"/>
      <c r="GB32" s="219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8"/>
      <c r="GO32" s="219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8"/>
      <c r="HB32" s="219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8"/>
      <c r="HO32" s="219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8"/>
      <c r="IB32" s="219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8"/>
      <c r="IO32" s="219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8"/>
      <c r="B33" s="219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8"/>
      <c r="B60" s="219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8"/>
      <c r="B61" s="219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8"/>
      <c r="B62" s="219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8"/>
      <c r="B63" s="219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8"/>
      <c r="B64" s="219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8"/>
      <c r="B65" s="219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8"/>
      <c r="B66" s="219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8"/>
      <c r="B67" s="219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8"/>
      <c r="B68" s="219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8"/>
      <c r="B69" s="219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8:CZ38"/>
    <mergeCell ref="BC38:BM38"/>
    <mergeCell ref="P39:Z39"/>
    <mergeCell ref="AC39:AM39"/>
    <mergeCell ref="AP39:AZ39"/>
    <mergeCell ref="HP39:HZ39"/>
    <mergeCell ref="IC39:IM39"/>
    <mergeCell ref="DC40:DM40"/>
    <mergeCell ref="EP40:EZ40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GC40:GM40"/>
    <mergeCell ref="GP40:GZ40"/>
    <mergeCell ref="HC40:HM40"/>
    <mergeCell ref="HP40:HZ40"/>
    <mergeCell ref="EC40:EM40"/>
    <mergeCell ref="DP40:DZ40"/>
    <mergeCell ref="BC40:BM40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HP38:HZ38"/>
    <mergeCell ref="IC38:IM38"/>
    <mergeCell ref="IP38:IV38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FC30:FM30"/>
    <mergeCell ref="FP30:FZ30"/>
    <mergeCell ref="FC31:FM31"/>
    <mergeCell ref="FP31:FZ31"/>
    <mergeCell ref="GC31:GM31"/>
    <mergeCell ref="GP31:GZ31"/>
    <mergeCell ref="HC31:HM31"/>
    <mergeCell ref="EC32:EM32"/>
    <mergeCell ref="EP32:EZ32"/>
    <mergeCell ref="FC32:FM32"/>
    <mergeCell ref="AP32:AZ32"/>
    <mergeCell ref="BP32:BZ32"/>
    <mergeCell ref="GC32:GM32"/>
    <mergeCell ref="IC32:IM32"/>
    <mergeCell ref="IC30:IM30"/>
    <mergeCell ref="HP30:HZ30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C14:M14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DP29:DZ29"/>
    <mergeCell ref="DC29:DM29"/>
    <mergeCell ref="IP29:IV29"/>
    <mergeCell ref="P30:Z30"/>
    <mergeCell ref="AC30:AM30"/>
    <mergeCell ref="AP30:AZ30"/>
    <mergeCell ref="GC30:GM30"/>
    <mergeCell ref="GP30:GZ30"/>
    <mergeCell ref="EP30:EZ30"/>
    <mergeCell ref="HP29:HZ29"/>
    <mergeCell ref="IC29:IM29"/>
    <mergeCell ref="FP29:FZ29"/>
    <mergeCell ref="GC29:GM29"/>
    <mergeCell ref="GP29:GZ29"/>
    <mergeCell ref="HC29:HM29"/>
    <mergeCell ref="A2:E2"/>
    <mergeCell ref="C5:M5"/>
    <mergeCell ref="C6:M6"/>
    <mergeCell ref="C7:M7"/>
    <mergeCell ref="C8:M8"/>
    <mergeCell ref="C13:M13"/>
    <mergeCell ref="C9:M9"/>
    <mergeCell ref="A1:I1"/>
    <mergeCell ref="C3:M3"/>
    <mergeCell ref="C4:M4"/>
    <mergeCell ref="F2:I2"/>
    <mergeCell ref="C10:M10"/>
    <mergeCell ref="C11:M11"/>
    <mergeCell ref="C12:M12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BC29:BM29"/>
    <mergeCell ref="BP29:BZ29"/>
    <mergeCell ref="CC29:CM29"/>
    <mergeCell ref="P31:Z31"/>
    <mergeCell ref="AC31:AM31"/>
    <mergeCell ref="AP31:AZ31"/>
    <mergeCell ref="P32:Z32"/>
    <mergeCell ref="C15:M15"/>
    <mergeCell ref="C16:M16"/>
    <mergeCell ref="C17:M17"/>
    <mergeCell ref="C18:M18"/>
    <mergeCell ref="C19:M19"/>
    <mergeCell ref="C20:M20"/>
    <mergeCell ref="P29:Z29"/>
    <mergeCell ref="AC29:AM29"/>
    <mergeCell ref="AC32:AM32"/>
    <mergeCell ref="C21:M21"/>
    <mergeCell ref="C22:M22"/>
    <mergeCell ref="C23:M23"/>
    <mergeCell ref="C24:M24"/>
    <mergeCell ref="C29:M29"/>
    <mergeCell ref="C25:M25"/>
    <mergeCell ref="C26:M26"/>
    <mergeCell ref="C27:M27"/>
    <mergeCell ref="AP29:AZ29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39:M39"/>
    <mergeCell ref="C40:M40"/>
    <mergeCell ref="C32:M32"/>
    <mergeCell ref="C30:M30"/>
    <mergeCell ref="C31:M31"/>
    <mergeCell ref="C42:M42"/>
    <mergeCell ref="C41:M41"/>
    <mergeCell ref="C33:M33"/>
    <mergeCell ref="C37:M37"/>
    <mergeCell ref="C46:M46"/>
    <mergeCell ref="C44:M44"/>
    <mergeCell ref="C43:M43"/>
    <mergeCell ref="C90:M90"/>
    <mergeCell ref="C83:M83"/>
    <mergeCell ref="C84:M84"/>
    <mergeCell ref="C85:M85"/>
    <mergeCell ref="C86:M86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61:M61"/>
    <mergeCell ref="C53:M53"/>
    <mergeCell ref="C54:M54"/>
    <mergeCell ref="C55:M55"/>
    <mergeCell ref="C75:M75"/>
    <mergeCell ref="C67:M67"/>
    <mergeCell ref="C68:M68"/>
    <mergeCell ref="C69:M69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2014-09-05T16:53:47Z</cp:lastPrinted>
  <dcterms:created xsi:type="dcterms:W3CDTF">1997-12-04T19:04:30Z</dcterms:created>
  <dcterms:modified xsi:type="dcterms:W3CDTF">2014-09-22T12:21:19Z</dcterms:modified>
</cp:coreProperties>
</file>