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C15" i="10" s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127" i="2" s="1"/>
  <c r="D128" i="2" s="1"/>
  <c r="L359" i="1"/>
  <c r="L360" i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E118" i="2" s="1"/>
  <c r="L282" i="1"/>
  <c r="E119" i="2" s="1"/>
  <c r="L283" i="1"/>
  <c r="E120" i="2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112" i="1" s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9" i="10"/>
  <c r="C20" i="10"/>
  <c r="L250" i="1"/>
  <c r="L332" i="1"/>
  <c r="L254" i="1"/>
  <c r="L268" i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9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G476" i="1" s="1"/>
  <c r="H623" i="1" s="1"/>
  <c r="H470" i="1"/>
  <c r="I470" i="1"/>
  <c r="J470" i="1"/>
  <c r="F474" i="1"/>
  <c r="F476" i="1" s="1"/>
  <c r="H622" i="1" s="1"/>
  <c r="G474" i="1"/>
  <c r="H474" i="1"/>
  <c r="H476" i="1" s="1"/>
  <c r="H624" i="1" s="1"/>
  <c r="J624" i="1" s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F534" i="1"/>
  <c r="G534" i="1"/>
  <c r="G545" i="1" s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H641" i="1"/>
  <c r="G643" i="1"/>
  <c r="H643" i="1"/>
  <c r="G644" i="1"/>
  <c r="G645" i="1"/>
  <c r="H645" i="1"/>
  <c r="J645" i="1" s="1"/>
  <c r="G650" i="1"/>
  <c r="G652" i="1"/>
  <c r="H652" i="1"/>
  <c r="G653" i="1"/>
  <c r="H653" i="1"/>
  <c r="G654" i="1"/>
  <c r="H654" i="1"/>
  <c r="H655" i="1"/>
  <c r="J655" i="1" s="1"/>
  <c r="G164" i="2"/>
  <c r="C26" i="10"/>
  <c r="L328" i="1"/>
  <c r="L351" i="1"/>
  <c r="A31" i="12"/>
  <c r="D18" i="13"/>
  <c r="C18" i="13" s="1"/>
  <c r="D17" i="13"/>
  <c r="C17" i="13" s="1"/>
  <c r="F78" i="2"/>
  <c r="F81" i="2" s="1"/>
  <c r="D50" i="2"/>
  <c r="G157" i="2"/>
  <c r="F18" i="2"/>
  <c r="G161" i="2"/>
  <c r="G156" i="2"/>
  <c r="E103" i="2"/>
  <c r="G62" i="2"/>
  <c r="D19" i="13"/>
  <c r="C19" i="13" s="1"/>
  <c r="D14" i="13"/>
  <c r="C14" i="13" s="1"/>
  <c r="E13" i="13"/>
  <c r="C13" i="13" s="1"/>
  <c r="E78" i="2"/>
  <c r="E81" i="2" s="1"/>
  <c r="L427" i="1"/>
  <c r="J641" i="1"/>
  <c r="J639" i="1"/>
  <c r="J571" i="1"/>
  <c r="K571" i="1"/>
  <c r="L433" i="1"/>
  <c r="L419" i="1"/>
  <c r="D81" i="2"/>
  <c r="I169" i="1"/>
  <c r="J643" i="1"/>
  <c r="I476" i="1"/>
  <c r="H625" i="1" s="1"/>
  <c r="J625" i="1" s="1"/>
  <c r="J140" i="1"/>
  <c r="F571" i="1"/>
  <c r="I552" i="1"/>
  <c r="K550" i="1"/>
  <c r="G22" i="2"/>
  <c r="K545" i="1"/>
  <c r="C29" i="10"/>
  <c r="H140" i="1"/>
  <c r="L393" i="1"/>
  <c r="F22" i="13"/>
  <c r="C22" i="13" s="1"/>
  <c r="H571" i="1"/>
  <c r="L560" i="1"/>
  <c r="J545" i="1"/>
  <c r="H192" i="1"/>
  <c r="F552" i="1"/>
  <c r="L309" i="1"/>
  <c r="E16" i="13"/>
  <c r="L570" i="1"/>
  <c r="I571" i="1"/>
  <c r="J636" i="1"/>
  <c r="G36" i="2"/>
  <c r="C138" i="2"/>
  <c r="C16" i="13"/>
  <c r="G552" i="1" l="1"/>
  <c r="J552" i="1"/>
  <c r="K551" i="1"/>
  <c r="H545" i="1"/>
  <c r="L544" i="1"/>
  <c r="H552" i="1"/>
  <c r="L534" i="1"/>
  <c r="L529" i="1"/>
  <c r="K549" i="1"/>
  <c r="L524" i="1"/>
  <c r="C118" i="2"/>
  <c r="C11" i="10"/>
  <c r="I460" i="1"/>
  <c r="I461" i="1" s="1"/>
  <c r="H642" i="1" s="1"/>
  <c r="J642" i="1" s="1"/>
  <c r="I446" i="1"/>
  <c r="G642" i="1" s="1"/>
  <c r="K598" i="1"/>
  <c r="G647" i="1" s="1"/>
  <c r="I369" i="1"/>
  <c r="H634" i="1" s="1"/>
  <c r="J634" i="1"/>
  <c r="D31" i="2"/>
  <c r="D51" i="2" s="1"/>
  <c r="C78" i="2"/>
  <c r="C70" i="2"/>
  <c r="K338" i="1"/>
  <c r="K352" i="1" s="1"/>
  <c r="D7" i="13"/>
  <c r="C7" i="13" s="1"/>
  <c r="D15" i="13"/>
  <c r="C15" i="13" s="1"/>
  <c r="D18" i="2"/>
  <c r="F661" i="1"/>
  <c r="C57" i="2"/>
  <c r="C62" i="2"/>
  <c r="C63" i="2" s="1"/>
  <c r="J640" i="1"/>
  <c r="J622" i="1"/>
  <c r="J623" i="1"/>
  <c r="K271" i="1"/>
  <c r="H25" i="13"/>
  <c r="C132" i="2"/>
  <c r="E8" i="13"/>
  <c r="C8" i="13" s="1"/>
  <c r="J338" i="1"/>
  <c r="J352" i="1" s="1"/>
  <c r="D6" i="13"/>
  <c r="C6" i="13" s="1"/>
  <c r="C110" i="2"/>
  <c r="C16" i="10"/>
  <c r="H257" i="1"/>
  <c r="H271" i="1" s="1"/>
  <c r="H662" i="1"/>
  <c r="C21" i="10"/>
  <c r="G651" i="1"/>
  <c r="J651" i="1" s="1"/>
  <c r="L247" i="1"/>
  <c r="H660" i="1" s="1"/>
  <c r="C109" i="2"/>
  <c r="F662" i="1"/>
  <c r="G649" i="1"/>
  <c r="J649" i="1" s="1"/>
  <c r="H647" i="1"/>
  <c r="J647" i="1" s="1"/>
  <c r="C124" i="2"/>
  <c r="H52" i="1"/>
  <c r="H619" i="1" s="1"/>
  <c r="J619" i="1" s="1"/>
  <c r="H661" i="1"/>
  <c r="L362" i="1"/>
  <c r="G635" i="1" s="1"/>
  <c r="J635" i="1" s="1"/>
  <c r="D145" i="2"/>
  <c r="G661" i="1"/>
  <c r="D29" i="13"/>
  <c r="C29" i="13" s="1"/>
  <c r="L290" i="1"/>
  <c r="L338" i="1" s="1"/>
  <c r="L352" i="1" s="1"/>
  <c r="G633" i="1" s="1"/>
  <c r="J633" i="1" s="1"/>
  <c r="E128" i="2"/>
  <c r="E145" i="2" s="1"/>
  <c r="D12" i="13"/>
  <c r="C12" i="13" s="1"/>
  <c r="C18" i="10"/>
  <c r="C17" i="10"/>
  <c r="C120" i="2"/>
  <c r="L211" i="1"/>
  <c r="C10" i="10"/>
  <c r="D5" i="13"/>
  <c r="C5" i="13" s="1"/>
  <c r="C81" i="2"/>
  <c r="C35" i="10"/>
  <c r="C36" i="10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K552" i="1" l="1"/>
  <c r="L545" i="1"/>
  <c r="G104" i="2"/>
  <c r="H646" i="1"/>
  <c r="J646" i="1" s="1"/>
  <c r="I662" i="1"/>
  <c r="C27" i="10"/>
  <c r="H648" i="1"/>
  <c r="J648" i="1" s="1"/>
  <c r="L257" i="1"/>
  <c r="L271" i="1" s="1"/>
  <c r="G632" i="1" s="1"/>
  <c r="J632" i="1" s="1"/>
  <c r="E33" i="13"/>
  <c r="D35" i="13" s="1"/>
  <c r="C115" i="2"/>
  <c r="C144" i="2"/>
  <c r="C25" i="13"/>
  <c r="H33" i="13"/>
  <c r="I661" i="1"/>
  <c r="H664" i="1"/>
  <c r="H672" i="1" s="1"/>
  <c r="C6" i="10" s="1"/>
  <c r="C128" i="2"/>
  <c r="D31" i="13"/>
  <c r="C31" i="13" s="1"/>
  <c r="G664" i="1"/>
  <c r="F660" i="1"/>
  <c r="C28" i="10"/>
  <c r="D16" i="10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H667" i="1"/>
  <c r="D33" i="13"/>
  <c r="D36" i="13" s="1"/>
  <c r="D11" i="10"/>
  <c r="D17" i="10"/>
  <c r="D23" i="10"/>
  <c r="D24" i="10"/>
  <c r="D15" i="10"/>
  <c r="G667" i="1"/>
  <c r="G672" i="1"/>
  <c r="C5" i="10" s="1"/>
  <c r="D27" i="10"/>
  <c r="D10" i="10"/>
  <c r="D26" i="10"/>
  <c r="D13" i="10"/>
  <c r="D19" i="10"/>
  <c r="C30" i="10"/>
  <c r="D20" i="10"/>
  <c r="D25" i="10"/>
  <c r="D18" i="10"/>
  <c r="D22" i="10"/>
  <c r="F664" i="1"/>
  <c r="I660" i="1"/>
  <c r="I664" i="1" s="1"/>
  <c r="I672" i="1" s="1"/>
  <c r="C7" i="10" s="1"/>
  <c r="D21" i="10"/>
  <c r="D12" i="10"/>
  <c r="H656" i="1"/>
  <c r="C41" i="10"/>
  <c r="D38" i="10" s="1"/>
  <c r="I667" i="1" l="1"/>
  <c r="D28" i="10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<sst xmlns="http://schemas.openxmlformats.org/spreadsheetml/2006/main" count="3966" uniqueCount="913">
  <si>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</si>
  <si>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</si>
  <si>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</si>
  <si>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</si>
  <si>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</si>
  <si>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</si>
  <si>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</si>
  <si>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</si>
  <si>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</si>
  <si>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</si>
  <si>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</si>
  <si>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</si>
  <si>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</si>
  <si>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</si>
  <si>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</si>
  <si>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</si>
  <si>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</si>
  <si>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</si>
  <si>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</si>
  <si>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</si>
  <si>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</si>
  <si>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</si>
  <si>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</si>
  <si>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</si>
  <si>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</si>
  <si>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</si>
  <si>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</si>
  <si>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</si>
  <si>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</si>
  <si>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</si>
  <si>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</si>
  <si>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</si>
  <si>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</si>
  <si>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</si>
  <si>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</si>
  <si>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</si>
  <si>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</si>
  <si>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</si>
  <si>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</si>
  <si>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</si>
  <si>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</si>
  <si>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</si>
  <si>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</si>
  <si>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</si>
  <si>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</si>
  <si>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</si>
  <si>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</si>
  <si>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</si>
  <si>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</si>
  <si>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</si>
  <si>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</si>
  <si>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</si>
  <si>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</si>
  <si>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</si>
  <si>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</si>
  <si>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</si>
  <si>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</si>
  <si>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</si>
  <si>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</si>
  <si>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</si>
  <si>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</si>
  <si>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</si>
  <si>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</si>
  <si>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</si>
  <si>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</si>
  <si>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</si>
  <si>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</si>
  <si>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</si>
  <si>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</si>
  <si>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</si>
  <si>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</si>
  <si>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</si>
  <si>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</si>
  <si>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</si>
  <si>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</si>
  <si>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</si>
  <si>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</si>
  <si>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</si>
  <si>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</si>
  <si>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</si>
  <si>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</si>
  <si>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</si>
  <si>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</si>
  <si>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</si>
  <si>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</si>
  <si>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</si>
  <si>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</si>
  <si>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</si>
  <si>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</si>
  <si>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</si>
  <si>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</si>
  <si>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</si>
  <si>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</si>
  <si>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</si>
  <si>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</si>
  <si>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</si>
  <si>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</si>
  <si>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</si>
  <si>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</si>
  <si>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</si>
  <si>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</si>
  <si>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</si>
  <si>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</si>
  <si>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</si>
  <si>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</si>
  <si>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</si>
  <si>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</si>
  <si>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</si>
  <si>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</si>
  <si>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</si>
  <si>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</si>
  <si>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</si>
  <si>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</si>
  <si>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</si>
  <si>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</si>
  <si>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</si>
  <si>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</si>
  <si>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</si>
  <si>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</si>
  <si>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</si>
  <si>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</si>
  <si>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</si>
  <si>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</si>
  <si>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</si>
  <si>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</si>
  <si>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</si>
  <si>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</si>
  <si>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</si>
  <si>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</si>
  <si>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</si>
  <si>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</si>
  <si>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</si>
  <si>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</si>
  <si>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</si>
  <si>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</si>
  <si>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</si>
  <si>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</si>
  <si>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</si>
  <si>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</si>
  <si>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</si>
  <si>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</si>
  <si>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</si>
  <si>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</si>
  <si>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</si>
  <si>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</si>
  <si>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</si>
  <si>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</si>
  <si>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</si>
  <si>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</si>
  <si>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</si>
  <si>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</si>
  <si>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</si>
  <si>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</si>
  <si>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</si>
  <si>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</si>
  <si>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</si>
  <si>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</si>
  <si>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</si>
  <si>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</si>
  <si>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</si>
  <si>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</si>
  <si>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</si>
  <si>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</si>
  <si>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</si>
  <si>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</si>
  <si>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</si>
  <si>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</si>
  <si>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</si>
  <si>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</si>
  <si>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</si>
  <si>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</si>
  <si>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</si>
  <si>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</si>
  <si>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</si>
  <si>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</si>
  <si>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</si>
  <si>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</si>
  <si>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</si>
  <si>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</si>
  <si>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</si>
  <si>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</si>
  <si>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</si>
  <si>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</si>
  <si>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</si>
  <si>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</si>
  <si>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</si>
  <si>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</si>
  <si>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</si>
  <si>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</si>
  <si>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</si>
  <si>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</si>
  <si>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</si>
  <si>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</si>
  <si>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</si>
  <si>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</si>
  <si>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</si>
  <si>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</si>
  <si>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</si>
  <si>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</si>
  <si>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</si>
  <si>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</si>
  <si>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</si>
  <si>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</si>
  <si>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</si>
  <si>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</si>
  <si>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</si>
  <si>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</si>
  <si>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</si>
  <si>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</si>
  <si>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</si>
  <si>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</si>
  <si>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</si>
  <si>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</si>
  <si>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</si>
  <si>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</si>
  <si>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</si>
  <si>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</si>
  <si>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</si>
  <si>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</si>
  <si>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</si>
  <si>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</si>
  <si>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</si>
  <si>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</si>
  <si>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</si>
  <si>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</si>
  <si>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</si>
  <si>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</si>
  <si>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</si>
  <si>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</si>
  <si>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</si>
  <si>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</si>
  <si>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</si>
  <si>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</si>
  <si>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</si>
  <si>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</si>
  <si>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</si>
  <si>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</si>
  <si>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</si>
  <si>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</si>
  <si>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</si>
  <si>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</si>
  <si>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</si>
  <si>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</si>
  <si>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</si>
  <si>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</si>
  <si>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</si>
  <si>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</si>
  <si>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</si>
  <si>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</si>
  <si>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</si>
  <si>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</si>
  <si>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</si>
  <si>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</si>
  <si>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</si>
  <si>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</si>
  <si>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</si>
  <si>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</si>
  <si>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</si>
  <si>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</si>
  <si>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</si>
  <si>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</si>
  <si>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</si>
  <si>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</si>
  <si>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</si>
  <si>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</si>
  <si>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</si>
  <si>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</si>
  <si>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</si>
  <si>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</si>
  <si>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</si>
  <si>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</si>
  <si>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</si>
  <si>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</si>
  <si>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</si>
  <si>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</si>
  <si>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</si>
  <si>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</si>
  <si>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</si>
  <si>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</si>
  <si>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</si>
  <si>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</si>
  <si>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</si>
  <si>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</si>
  <si>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</si>
  <si>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</si>
  <si>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</si>
  <si>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</si>
  <si>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</si>
  <si>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</si>
  <si>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</si>
  <si>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</si>
  <si>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</si>
  <si>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</si>
  <si>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</si>
  <si>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</si>
  <si>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</si>
  <si>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</si>
  <si>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</si>
  <si>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</si>
  <si>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</si>
  <si>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</si>
  <si>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</si>
  <si>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</si>
  <si>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</si>
  <si>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</si>
  <si>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</si>
  <si>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</si>
  <si>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</si>
  <si>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</si>
  <si>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</si>
  <si>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</si>
  <si>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</si>
  <si>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</si>
  <si>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</si>
  <si>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</si>
  <si>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</si>
  <si>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</si>
  <si>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</si>
  <si>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</si>
  <si>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</si>
  <si>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</si>
  <si>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</si>
  <si>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</si>
  <si>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</si>
  <si>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</si>
  <si>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</si>
  <si>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</si>
  <si>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</si>
  <si>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</si>
  <si>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</si>
  <si>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</si>
  <si>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</si>
  <si>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</si>
  <si>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</si>
  <si>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</si>
  <si>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</si>
  <si>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</si>
  <si>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</si>
  <si>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</si>
  <si>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</si>
  <si>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</si>
  <si>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</si>
  <si>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</si>
  <si>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</si>
  <si>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</si>
  <si>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</si>
  <si>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</si>
  <si>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</si>
  <si>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</si>
  <si>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</si>
  <si>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</si>
  <si>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</si>
  <si>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</si>
  <si>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</si>
  <si>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</si>
  <si>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</si>
  <si>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</si>
  <si>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</si>
  <si>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</si>
  <si>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</si>
  <si>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</si>
  <si>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</si>
  <si>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</si>
  <si>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</si>
  <si>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</si>
  <si>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</si>
  <si>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</si>
  <si>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</si>
  <si>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</si>
  <si>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</si>
  <si>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</si>
  <si>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</si>
  <si>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</si>
  <si>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</si>
  <si>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</si>
  <si>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</si>
  <si>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</si>
  <si>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</si>
  <si>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</si>
  <si>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</si>
  <si>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</si>
  <si>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</si>
  <si>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</si>
  <si>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</si>
  <si>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</si>
  <si>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</si>
  <si>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</si>
  <si>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</si>
  <si>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</si>
  <si>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</si>
  <si>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</si>
  <si>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</si>
  <si>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</si>
  <si>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</si>
  <si>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</si>
  <si>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</si>
  <si>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</si>
  <si>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</si>
  <si>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</si>
  <si>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</si>
  <si>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</si>
  <si>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</si>
  <si>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</si>
  <si>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</si>
  <si>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</si>
  <si>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</si>
  <si>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</si>
  <si>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</si>
  <si>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</si>
  <si>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</si>
  <si>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</si>
  <si>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</si>
  <si>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</si>
  <si>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</si>
  <si>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</si>
  <si>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</si>
  <si>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</si>
  <si>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</si>
  <si>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</si>
  <si>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</si>
  <si>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</si>
  <si>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</si>
  <si>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</si>
  <si>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</si>
  <si>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</si>
  <si>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</si>
  <si>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</si>
  <si>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</si>
  <si>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</si>
  <si>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</si>
  <si>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</si>
  <si>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</si>
  <si>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</si>
  <si>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</si>
  <si>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</si>
  <si>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</si>
  <si>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</si>
  <si>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</si>
  <si>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</si>
  <si>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</si>
  <si>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</si>
  <si>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</si>
  <si>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</si>
  <si>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</si>
  <si>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</si>
  <si>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</si>
  <si>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</si>
  <si>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</si>
  <si>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</si>
  <si>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</si>
  <si>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</si>
  <si>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</si>
  <si>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</si>
  <si>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</si>
  <si>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</si>
  <si>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</si>
  <si>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</si>
  <si>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</si>
  <si>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</si>
  <si>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</si>
  <si>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</si>
  <si>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</si>
  <si>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</si>
  <si>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</si>
  <si>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</si>
  <si>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</si>
  <si>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</si>
  <si>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</si>
  <si>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</si>
  <si>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</si>
  <si>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</si>
  <si>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</si>
  <si>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</si>
  <si>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</si>
  <si>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</si>
  <si>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</si>
  <si>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</si>
  <si>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</si>
  <si>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</si>
  <si>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</si>
  <si>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</si>
  <si>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</si>
  <si>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</si>
  <si>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</si>
  <si>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</si>
  <si>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</si>
  <si>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</si>
  <si>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</si>
  <si>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</si>
  <si>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</si>
  <si>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</si>
  <si>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</si>
  <si>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</si>
  <si>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</si>
  <si>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</si>
  <si>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</si>
  <si>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</si>
  <si>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</si>
  <si>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</si>
  <si>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</si>
  <si>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</si>
  <si>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</si>
  <si>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</si>
  <si>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</si>
  <si>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</si>
  <si>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</si>
  <si>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</si>
  <si>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</si>
  <si>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</si>
  <si>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</si>
  <si>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</si>
  <si>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</si>
  <si>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</si>
  <si>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</si>
  <si>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</si>
  <si>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</si>
  <si>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</si>
  <si>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</si>
  <si>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</si>
  <si>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</si>
  <si>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</si>
  <si>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</si>
  <si>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</si>
  <si>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</si>
  <si>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</si>
  <si>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</si>
  <si>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</si>
  <si>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</si>
  <si>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</si>
  <si>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</si>
  <si>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</si>
  <si>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</si>
  <si>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</si>
  <si>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</si>
  <si>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</si>
  <si>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</si>
  <si>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</si>
  <si>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</si>
  <si>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</si>
  <si>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</si>
  <si>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</si>
  <si>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</si>
  <si>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</si>
  <si>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</si>
  <si>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</si>
  <si>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</si>
  <si>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</si>
  <si>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</si>
  <si>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</si>
  <si>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</si>
  <si>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</si>
  <si>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</si>
  <si>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</si>
  <si>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</si>
  <si>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</si>
  <si>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</si>
  <si>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</si>
  <si>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</si>
  <si>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</si>
  <si>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</si>
  <si>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</si>
  <si>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</si>
  <si>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</si>
  <si>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</si>
  <si>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</si>
  <si>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</si>
  <si>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</si>
  <si>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</si>
  <si>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</si>
  <si>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</si>
  <si>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</si>
  <si>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</si>
  <si>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</si>
  <si>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</si>
  <si>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</si>
  <si>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</si>
  <si>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</si>
  <si>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</si>
  <si>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</si>
  <si>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</si>
  <si>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</si>
  <si>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</si>
  <si>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</si>
  <si>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</si>
  <si>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</si>
  <si>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</si>
  <si>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</si>
  <si>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</si>
  <si>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</si>
  <si>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</si>
  <si>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</si>
  <si>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</si>
  <si>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</si>
  <si>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</si>
  <si>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</si>
  <si>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</si>
  <si>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</si>
  <si>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</si>
  <si>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</si>
  <si>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</si>
  <si>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</si>
  <si>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</si>
  <si>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</si>
  <si>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</si>
  <si>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</si>
  <si>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</si>
  <si>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</si>
  <si>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</si>
  <si>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</si>
  <si>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</si>
  <si>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</si>
  <si>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</si>
  <si>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</si>
  <si>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</si>
  <si>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</si>
  <si>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</si>
  <si>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</si>
  <si>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</si>
  <si>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</si>
  <si>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</si>
  <si>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</si>
  <si>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</si>
  <si>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</si>
  <si>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</si>
  <si>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</si>
  <si>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</si>
  <si>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</si>
  <si>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</si>
  <si>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</si>
  <si>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</si>
  <si>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</si>
  <si>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</si>
  <si>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</si>
  <si>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</si>
  <si>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</si>
  <si>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</si>
  <si>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</si>
  <si>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</si>
  <si>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</si>
  <si>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</si>
  <si>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</si>
  <si>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</si>
  <si>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</si>
  <si>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</si>
  <si>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</si>
  <si>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</si>
  <si>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</si>
  <si>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</si>
  <si>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</si>
  <si>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</si>
  <si>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</si>
  <si>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</si>
  <si>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</si>
  <si>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</si>
  <si>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</si>
  <si>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</si>
  <si>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</si>
  <si>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</si>
  <si>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</si>
  <si>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</si>
  <si>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</si>
  <si>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</si>
  <si>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</si>
  <si>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</si>
  <si>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</si>
  <si>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</si>
  <si>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</si>
  <si>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</si>
  <si>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</si>
  <si>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</si>
  <si>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</si>
  <si>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</si>
  <si>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</si>
  <si>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</si>
  <si>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</si>
  <si>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</si>
  <si>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</si>
  <si>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</si>
  <si>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</si>
  <si>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</si>
  <si>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</si>
  <si>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</si>
  <si>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</si>
  <si>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</si>
  <si>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</si>
  <si>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</si>
  <si>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</si>
  <si>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</si>
  <si>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</si>
  <si>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</si>
  <si>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</si>
  <si>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</si>
  <si>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</si>
  <si>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</si>
  <si>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</si>
  <si>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</si>
  <si>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</si>
  <si>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</si>
  <si>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</si>
  <si>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</si>
  <si>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</si>
  <si>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</si>
  <si>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</si>
  <si>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</si>
  <si>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</si>
  <si>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</si>
  <si>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</si>
  <si>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</si>
  <si>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</si>
  <si>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</si>
  <si>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</si>
  <si>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</si>
  <si>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</si>
  <si>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</si>
  <si>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</si>
  <si>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</si>
  <si>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</si>
  <si>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</si>
  <si>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</si>
  <si>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</si>
  <si>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</si>
  <si>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</si>
  <si>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</si>
  <si>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</si>
  <si>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</si>
  <si>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</si>
  <si>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</si>
  <si>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</si>
  <si>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</si>
  <si>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</si>
  <si>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</si>
  <si>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</si>
  <si>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</si>
  <si>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</si>
  <si>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</si>
  <si>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</si>
  <si>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</si>
  <si>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</si>
  <si>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</si>
  <si>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</si>
  <si>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</si>
  <si>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</si>
  <si>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</si>
  <si>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</si>
  <si>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</si>
  <si>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</si>
  <si>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</si>
  <si>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</si>
  <si>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</si>
  <si>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</si>
  <si>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</si>
  <si>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</si>
  <si>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</si>
  <si>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</si>
  <si>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</si>
  <si>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</si>
  <si>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</si>
  <si>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</si>
  <si>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</si>
  <si>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</si>
  <si>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</si>
  <si>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</si>
  <si>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</si>
  <si>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</si>
  <si>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</si>
  <si>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</si>
  <si>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</si>
  <si>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</si>
  <si>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</si>
  <si>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</si>
  <si>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</si>
  <si>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</si>
  <si>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</si>
  <si>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</si>
  <si>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</si>
  <si>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</si>
  <si>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</si>
  <si>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</si>
  <si>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</si>
  <si>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</si>
  <si>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</si>
  <si>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</si>
  <si>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</si>
  <si>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</si>
  <si>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</si>
  <si>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</si>
  <si>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</si>
  <si>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</si>
  <si>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</si>
  <si>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</si>
  <si>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</si>
  <si>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</si>
  <si>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</si>
  <si>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</si>
  <si>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</si>
  <si>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</si>
  <si>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</si>
  <si>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</si>
  <si>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</si>
  <si>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</si>
  <si>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</si>
  <si>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</si>
  <si>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</si>
  <si>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</si>
  <si>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</si>
  <si>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</si>
  <si>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</si>
  <si>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</si>
  <si>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</si>
  <si>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</si>
  <si>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</si>
  <si>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</si>
  <si>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</si>
  <si>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</si>
  <si>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</si>
  <si>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</si>
  <si>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</si>
  <si>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</si>
  <si>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</si>
  <si>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</si>
  <si>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</si>
  <si>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</si>
  <si>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</si>
  <si>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</si>
  <si>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</si>
  <si>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</si>
  <si>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</si>
  <si>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</si>
  <si>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</si>
  <si>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</si>
  <si>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</si>
  <si>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</si>
  <si>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</si>
  <si>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</si>
  <si>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</si>
  <si>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</si>
  <si>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</si>
  <si>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</si>
  <si>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</si>
  <si>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</si>
  <si>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</si>
  <si>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</si>
  <si>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</si>
  <si>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</si>
  <si>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</si>
  <si>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</si>
  <si>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</si>
  <si>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</si>
  <si>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</si>
  <si>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</si>
  <si>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</si>
  <si>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</si>
  <si>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</si>
  <si>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</si>
  <si>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</si>
  <si>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</si>
  <si>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</si>
  <si>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</si>
  <si>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</si>
  <si>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</si>
  <si>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</si>
  <si>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</si>
  <si>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</si>
  <si>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</si>
  <si>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</si>
  <si>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</si>
  <si>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</si>
  <si>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</si>
  <si>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</si>
  <si>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</si>
  <si>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</si>
  <si>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</si>
  <si>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</si>
  <si>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</si>
  <si>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</si>
  <si>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</si>
  <si>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</si>
  <si>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</si>
  <si>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</si>
  <si>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</si>
  <si>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</si>
  <si>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</si>
  <si>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</si>
  <si>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</si>
  <si>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</si>
  <si>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</si>
  <si>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</si>
  <si>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</si>
  <si>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</si>
  <si>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</si>
  <si>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</si>
  <si>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</si>
  <si>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</si>
  <si>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</si>
  <si>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</si>
  <si>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</si>
  <si>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</si>
  <si>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</si>
  <si>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</si>
  <si>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</si>
  <si>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</si>
  <si>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</si>
  <si>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</si>
  <si>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</si>
  <si>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</si>
  <si>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</si>
  <si>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</si>
  <si>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</si>
  <si>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</si>
  <si>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</si>
  <si>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</si>
  <si>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DEERFIELD</t>
  </si>
  <si>
    <t>Positive amount in Other Income is for Fair Market Value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</si>
</sst>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127</v>
      </c>
      <c r="C2" s="21">
        <v>127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1209687.1399999999</v>
      </c>
      <c r="G9" s="18"/>
      <c r="H9" s="18"/>
      <c r="I9" s="18"/>
      <c r="J9" s="67">
        <f>SUM(I439)</f>
        <v>390810.46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29688.95</v>
      </c>
      <c r="G12" s="18">
        <v>2252.4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30516.959999999999</v>
      </c>
      <c r="G13" s="18">
        <v>2883.94</v>
      </c>
      <c r="H13" s="18">
        <v>37381.61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7277.9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1269893.0499999998</v>
      </c>
      <c r="G19" s="41">
        <f>SUM(G9:G18)</f>
        <v>12414.24</v>
      </c>
      <c r="H19" s="41">
        <f>SUM(H9:H18)</f>
        <v>37381.61</v>
      </c>
      <c r="I19" s="41">
        <f>SUM(I9:I18)</f>
        <v>0</v>
      </c>
      <c r="J19" s="41">
        <f>SUM(J9:J18)</f>
        <v>390810.46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 t="s">
        <v>287</v>
      </c>
      <c r="H22" s="18">
        <v>31941.35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819400.6</v>
      </c>
      <c r="G23" s="18">
        <v>2414.2399999999998</v>
      </c>
      <c r="H23" s="18">
        <v>5440.26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20205.650000000001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130254.39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969860.64</v>
      </c>
      <c r="G32" s="41">
        <f>SUM(G22:G31)</f>
        <v>2414.2399999999998</v>
      </c>
      <c r="H32" s="41">
        <f>SUM(H22:H31)</f>
        <v>37381.61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10000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156000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 t="s">
        <v>287</v>
      </c>
      <c r="G48" s="18"/>
      <c r="H48" s="18"/>
      <c r="I48" s="18"/>
      <c r="J48" s="13">
        <f>SUM(I459)</f>
        <v>390810.46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74032.41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300032.41000000003</v>
      </c>
      <c r="G51" s="41">
        <f>SUM(G35:G50)</f>
        <v>10000</v>
      </c>
      <c r="H51" s="41">
        <f>SUM(H35:H50)</f>
        <v>0</v>
      </c>
      <c r="I51" s="41">
        <f>SUM(I35:I50)</f>
        <v>0</v>
      </c>
      <c r="J51" s="41">
        <f>SUM(J35:J50)</f>
        <v>390810.46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1269893.05</v>
      </c>
      <c r="G52" s="41">
        <f>G51+G32</f>
        <v>12414.24</v>
      </c>
      <c r="H52" s="41">
        <f>H51+H32</f>
        <v>37381.61</v>
      </c>
      <c r="I52" s="41">
        <f>I51+I32</f>
        <v>0</v>
      </c>
      <c r="J52" s="41">
        <f>J51+J32</f>
        <v>390810.46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8640566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8640566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18220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18220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/>
      <c r="H96" s="18"/>
      <c r="I96" s="18"/>
      <c r="J96" s="18">
        <v>1295.22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72972.66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1856</v>
      </c>
      <c r="G109" s="18"/>
      <c r="H109" s="18">
        <v>0</v>
      </c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12270.5</v>
      </c>
      <c r="G110" s="18">
        <v>2137.77</v>
      </c>
      <c r="H110" s="18"/>
      <c r="I110" s="18"/>
      <c r="J110" s="18">
        <v>99.58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14126.5</v>
      </c>
      <c r="G111" s="41">
        <f>SUM(G96:G110)</f>
        <v>75110.430000000008</v>
      </c>
      <c r="H111" s="41">
        <f>SUM(H96:H110)</f>
        <v>0</v>
      </c>
      <c r="I111" s="41">
        <f>SUM(I96:I110)</f>
        <v>0</v>
      </c>
      <c r="J111" s="41">
        <f>SUM(J96:J110)</f>
        <v>1394.8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8672912.5</v>
      </c>
      <c r="G112" s="41">
        <f>G60+G111</f>
        <v>75110.430000000008</v>
      </c>
      <c r="H112" s="41">
        <f>H60+H79+H94+H111</f>
        <v>0</v>
      </c>
      <c r="I112" s="41">
        <f>I60+I111</f>
        <v>0</v>
      </c>
      <c r="J112" s="41">
        <f>J60+J111</f>
        <v>1394.8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1786724.74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1077704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2864428.74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25896.06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133.11000000000001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25896.06</v>
      </c>
      <c r="G136" s="41">
        <f>SUM(G123:G135)</f>
        <v>133.11000000000001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2890324.8000000003</v>
      </c>
      <c r="G140" s="41">
        <f>G121+SUM(G136:G137)</f>
        <v>133.11000000000001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62804.44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59358.44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47687.08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112979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103460.08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216439.08000000002</v>
      </c>
      <c r="G162" s="41">
        <f>SUM(G150:G161)</f>
        <v>47687.08</v>
      </c>
      <c r="H162" s="41">
        <f>SUM(H150:H161)</f>
        <v>122162.88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216439.08000000002</v>
      </c>
      <c r="G169" s="41">
        <f>G147+G162+SUM(G163:G168)</f>
        <v>47687.08</v>
      </c>
      <c r="H169" s="41">
        <f>H147+H162+SUM(H163:H168)</f>
        <v>122162.88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30398.14</v>
      </c>
      <c r="H179" s="18"/>
      <c r="I179" s="18"/>
      <c r="J179" s="18">
        <v>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30398.14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30398.14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11779676.380000001</v>
      </c>
      <c r="G193" s="47">
        <f>G112+G140+G169+G192</f>
        <v>153328.76</v>
      </c>
      <c r="H193" s="47">
        <f>H112+H140+H169+H192</f>
        <v>122162.88</v>
      </c>
      <c r="I193" s="47">
        <f>I112+I140+I169+I192</f>
        <v>0</v>
      </c>
      <c r="J193" s="47">
        <f>J112+J140+J192</f>
        <v>26394.799999999999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2329132.31</v>
      </c>
      <c r="G197" s="18">
        <v>979298.1</v>
      </c>
      <c r="H197" s="18">
        <v>16523.53</v>
      </c>
      <c r="I197" s="18">
        <v>94683.28</v>
      </c>
      <c r="J197" s="18">
        <v>35379.550000000003</v>
      </c>
      <c r="K197" s="18"/>
      <c r="L197" s="19">
        <f>SUM(F197:K197)</f>
        <v>3455016.7699999996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1369162.18</v>
      </c>
      <c r="G198" s="18">
        <v>574199.43999999994</v>
      </c>
      <c r="H198" s="18">
        <v>49842.38</v>
      </c>
      <c r="I198" s="18">
        <v>5176.9399999999996</v>
      </c>
      <c r="J198" s="18">
        <v>1456.48</v>
      </c>
      <c r="K198" s="18"/>
      <c r="L198" s="19">
        <f>SUM(F198:K198)</f>
        <v>1999837.4199999997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17510</v>
      </c>
      <c r="G200" s="18">
        <v>7433</v>
      </c>
      <c r="H200" s="18">
        <v>4840</v>
      </c>
      <c r="I200" s="18">
        <v>3553.22</v>
      </c>
      <c r="J200" s="18"/>
      <c r="K200" s="18" t="s">
        <v>287</v>
      </c>
      <c r="L200" s="19">
        <f>SUM(F200:K200)</f>
        <v>33336.22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184119.35</v>
      </c>
      <c r="G202" s="18">
        <v>78046.52</v>
      </c>
      <c r="H202" s="18">
        <v>241892.8</v>
      </c>
      <c r="I202" s="18">
        <v>1401.62</v>
      </c>
      <c r="J202" s="18">
        <v>0</v>
      </c>
      <c r="K202" s="18">
        <v>0</v>
      </c>
      <c r="L202" s="19">
        <f t="shared" ref="L202:L208" si="0">SUM(F202:K202)</f>
        <v>505460.29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73492.84</v>
      </c>
      <c r="G203" s="18">
        <v>56173.87</v>
      </c>
      <c r="H203" s="18">
        <v>14377.01</v>
      </c>
      <c r="I203" s="18">
        <v>9943.5400000000009</v>
      </c>
      <c r="J203" s="18">
        <v>497.92</v>
      </c>
      <c r="K203" s="18">
        <v>675</v>
      </c>
      <c r="L203" s="19">
        <f t="shared" si="0"/>
        <v>155160.18000000002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4540</v>
      </c>
      <c r="G204" s="18">
        <v>1858.25</v>
      </c>
      <c r="H204" s="18">
        <v>271166.18</v>
      </c>
      <c r="I204" s="18">
        <v>1319.29</v>
      </c>
      <c r="J204" s="18"/>
      <c r="K204" s="18">
        <v>8311.7999999999993</v>
      </c>
      <c r="L204" s="19">
        <f t="shared" si="0"/>
        <v>287195.51999999996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280089.48</v>
      </c>
      <c r="G205" s="18">
        <v>118569.79</v>
      </c>
      <c r="H205" s="18">
        <v>40350.949999999997</v>
      </c>
      <c r="I205" s="18">
        <v>2001.18</v>
      </c>
      <c r="J205" s="18">
        <v>0</v>
      </c>
      <c r="K205" s="18">
        <v>2901.75</v>
      </c>
      <c r="L205" s="19">
        <f t="shared" si="0"/>
        <v>443913.14999999997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165500.54999999999</v>
      </c>
      <c r="G207" s="18">
        <v>68755.27</v>
      </c>
      <c r="H207" s="18">
        <v>124403.6</v>
      </c>
      <c r="I207" s="18">
        <v>118851.43</v>
      </c>
      <c r="J207" s="18">
        <v>5739.41</v>
      </c>
      <c r="K207" s="18"/>
      <c r="L207" s="19">
        <f t="shared" si="0"/>
        <v>483250.26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438761.38</v>
      </c>
      <c r="I208" s="18"/>
      <c r="J208" s="18"/>
      <c r="K208" s="18"/>
      <c r="L208" s="19">
        <f t="shared" si="0"/>
        <v>438761.38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4423546.71</v>
      </c>
      <c r="G211" s="41">
        <f t="shared" si="1"/>
        <v>1884334.2400000002</v>
      </c>
      <c r="H211" s="41">
        <f t="shared" si="1"/>
        <v>1202157.8299999998</v>
      </c>
      <c r="I211" s="41">
        <f t="shared" si="1"/>
        <v>236930.5</v>
      </c>
      <c r="J211" s="41">
        <f t="shared" si="1"/>
        <v>43073.36</v>
      </c>
      <c r="K211" s="41">
        <f t="shared" si="1"/>
        <v>11888.55</v>
      </c>
      <c r="L211" s="41">
        <f t="shared" si="1"/>
        <v>7801931.1899999985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2884758.96</v>
      </c>
      <c r="I233" s="18"/>
      <c r="J233" s="18"/>
      <c r="K233" s="18"/>
      <c r="L233" s="19">
        <f>SUM(F233:K233)</f>
        <v>2884758.96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741889.06</v>
      </c>
      <c r="I234" s="18"/>
      <c r="J234" s="18"/>
      <c r="K234" s="18"/>
      <c r="L234" s="19">
        <f>SUM(F234:K234)</f>
        <v>741889.06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14561.52</v>
      </c>
      <c r="I238" s="18"/>
      <c r="J238" s="18"/>
      <c r="K238" s="18"/>
      <c r="L238" s="19">
        <f t="shared" ref="L238:L244" si="4">SUM(F238:K238)</f>
        <v>14561.52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258352.41</v>
      </c>
      <c r="I244" s="18"/>
      <c r="J244" s="18"/>
      <c r="K244" s="18"/>
      <c r="L244" s="19">
        <f t="shared" si="4"/>
        <v>258352.41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3899561.95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3899561.95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63279</v>
      </c>
      <c r="I255" s="18"/>
      <c r="J255" s="18"/>
      <c r="K255" s="18"/>
      <c r="L255" s="19">
        <f t="shared" si="6"/>
        <v>63279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63279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63279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4423546.71</v>
      </c>
      <c r="G257" s="41">
        <f t="shared" si="8"/>
        <v>1884334.2400000002</v>
      </c>
      <c r="H257" s="41">
        <f t="shared" si="8"/>
        <v>5164998.78</v>
      </c>
      <c r="I257" s="41">
        <f t="shared" si="8"/>
        <v>236930.5</v>
      </c>
      <c r="J257" s="41">
        <f t="shared" si="8"/>
        <v>43073.36</v>
      </c>
      <c r="K257" s="41">
        <f t="shared" si="8"/>
        <v>11888.55</v>
      </c>
      <c r="L257" s="41">
        <f t="shared" si="8"/>
        <v>11764772.139999999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30398.14</v>
      </c>
      <c r="L263" s="19">
        <f>SUM(F263:K263)</f>
        <v>30398.14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1077.5899999999999</v>
      </c>
      <c r="L268" s="19">
        <f t="shared" si="9"/>
        <v>1077.5899999999999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56475.729999999996</v>
      </c>
      <c r="L270" s="41">
        <f t="shared" si="9"/>
        <v>56475.729999999996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4423546.71</v>
      </c>
      <c r="G271" s="42">
        <f t="shared" si="11"/>
        <v>1884334.2400000002</v>
      </c>
      <c r="H271" s="42">
        <f t="shared" si="11"/>
        <v>5164998.78</v>
      </c>
      <c r="I271" s="42">
        <f t="shared" si="11"/>
        <v>236930.5</v>
      </c>
      <c r="J271" s="42">
        <f t="shared" si="11"/>
        <v>43073.36</v>
      </c>
      <c r="K271" s="42">
        <f t="shared" si="11"/>
        <v>68364.28</v>
      </c>
      <c r="L271" s="42">
        <f t="shared" si="11"/>
        <v>11821247.869999999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53673.93</v>
      </c>
      <c r="G276" s="18">
        <v>8557.09</v>
      </c>
      <c r="H276" s="18">
        <v>0</v>
      </c>
      <c r="I276" s="18">
        <v>5822.23</v>
      </c>
      <c r="J276" s="18">
        <v>3725.33</v>
      </c>
      <c r="K276" s="18"/>
      <c r="L276" s="19">
        <f>SUM(F276:K276)</f>
        <v>71778.58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0</v>
      </c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41008.370000000003</v>
      </c>
      <c r="G282" s="18">
        <v>4959.8100000000004</v>
      </c>
      <c r="H282" s="18">
        <v>1010.18</v>
      </c>
      <c r="I282" s="18">
        <v>2037</v>
      </c>
      <c r="J282" s="18"/>
      <c r="K282" s="18"/>
      <c r="L282" s="19">
        <f t="shared" si="12"/>
        <v>49015.360000000001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1368.94</v>
      </c>
      <c r="L283" s="19">
        <f t="shared" si="12"/>
        <v>1368.94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0</v>
      </c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94682.3</v>
      </c>
      <c r="G290" s="42">
        <f t="shared" si="13"/>
        <v>13516.900000000001</v>
      </c>
      <c r="H290" s="42">
        <f t="shared" si="13"/>
        <v>1010.18</v>
      </c>
      <c r="I290" s="42">
        <f t="shared" si="13"/>
        <v>7859.23</v>
      </c>
      <c r="J290" s="42">
        <f t="shared" si="13"/>
        <v>3725.33</v>
      </c>
      <c r="K290" s="42">
        <f t="shared" si="13"/>
        <v>1368.94</v>
      </c>
      <c r="L290" s="41">
        <f t="shared" si="13"/>
        <v>122162.88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94682.3</v>
      </c>
      <c r="G338" s="41">
        <f t="shared" si="20"/>
        <v>13516.900000000001</v>
      </c>
      <c r="H338" s="41">
        <f t="shared" si="20"/>
        <v>1010.18</v>
      </c>
      <c r="I338" s="41">
        <f t="shared" si="20"/>
        <v>7859.23</v>
      </c>
      <c r="J338" s="41">
        <f t="shared" si="20"/>
        <v>3725.33</v>
      </c>
      <c r="K338" s="41">
        <f t="shared" si="20"/>
        <v>1368.94</v>
      </c>
      <c r="L338" s="41">
        <f t="shared" si="20"/>
        <v>122162.88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94682.3</v>
      </c>
      <c r="G352" s="41">
        <f>G338</f>
        <v>13516.900000000001</v>
      </c>
      <c r="H352" s="41">
        <f>H338</f>
        <v>1010.18</v>
      </c>
      <c r="I352" s="41">
        <f>I338</f>
        <v>7859.23</v>
      </c>
      <c r="J352" s="41">
        <f>J338</f>
        <v>3725.33</v>
      </c>
      <c r="K352" s="47">
        <f>K338+K351</f>
        <v>1368.94</v>
      </c>
      <c r="L352" s="41">
        <f>L338+L351</f>
        <v>122162.88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66506.31</v>
      </c>
      <c r="G358" s="18">
        <v>22516.46</v>
      </c>
      <c r="H358" s="18">
        <v>3825.88</v>
      </c>
      <c r="I358" s="18">
        <v>60480.11</v>
      </c>
      <c r="J358" s="18">
        <v>0</v>
      </c>
      <c r="K358" s="18">
        <v>0</v>
      </c>
      <c r="L358" s="13">
        <f>SUM(F358:K358)</f>
        <v>153328.76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66506.31</v>
      </c>
      <c r="G362" s="47">
        <f t="shared" si="22"/>
        <v>22516.46</v>
      </c>
      <c r="H362" s="47">
        <f t="shared" si="22"/>
        <v>3825.88</v>
      </c>
      <c r="I362" s="47">
        <f t="shared" si="22"/>
        <v>60480.11</v>
      </c>
      <c r="J362" s="47">
        <f t="shared" si="22"/>
        <v>0</v>
      </c>
      <c r="K362" s="47">
        <f t="shared" si="22"/>
        <v>0</v>
      </c>
      <c r="L362" s="47">
        <f t="shared" si="22"/>
        <v>153328.76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53291.25</v>
      </c>
      <c r="G367" s="18"/>
      <c r="H367" s="18"/>
      <c r="I367" s="56">
        <f>SUM(F367:H367)</f>
        <v>53291.25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7188.86</v>
      </c>
      <c r="G368" s="63"/>
      <c r="H368" s="63"/>
      <c r="I368" s="56">
        <f>SUM(F368:H368)</f>
        <v>7188.86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60480.11</v>
      </c>
      <c r="G369" s="47">
        <f>SUM(G367:G368)</f>
        <v>0</v>
      </c>
      <c r="H369" s="47">
        <f>SUM(H367:H368)</f>
        <v>0</v>
      </c>
      <c r="I369" s="47">
        <f>SUM(I367:I368)</f>
        <v>60480.11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412.7</v>
      </c>
      <c r="I396" s="18">
        <v>31.54</v>
      </c>
      <c r="J396" s="24" t="s">
        <v>289</v>
      </c>
      <c r="K396" s="24" t="s">
        <v>289</v>
      </c>
      <c r="L396" s="56">
        <f t="shared" si="26"/>
        <v>25444.240000000002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787.49</v>
      </c>
      <c r="I397" s="18">
        <v>60.72</v>
      </c>
      <c r="J397" s="24" t="s">
        <v>289</v>
      </c>
      <c r="K397" s="24" t="s">
        <v>289</v>
      </c>
      <c r="L397" s="56">
        <f t="shared" si="26"/>
        <v>848.21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95.03</v>
      </c>
      <c r="I400" s="18">
        <v>7.32</v>
      </c>
      <c r="J400" s="24" t="s">
        <v>289</v>
      </c>
      <c r="K400" s="24" t="s">
        <v>289</v>
      </c>
      <c r="L400" s="56">
        <f t="shared" si="26"/>
        <v>102.35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1295.22</v>
      </c>
      <c r="I401" s="47">
        <f>SUM(I395:I400)</f>
        <v>99.579999999999984</v>
      </c>
      <c r="J401" s="45" t="s">
        <v>289</v>
      </c>
      <c r="K401" s="45" t="s">
        <v>289</v>
      </c>
      <c r="L401" s="47">
        <f>SUM(L395:L400)</f>
        <v>26394.799999999999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1295.22</v>
      </c>
      <c r="I408" s="47">
        <f>I393+I401+I407</f>
        <v>99.579999999999984</v>
      </c>
      <c r="J408" s="24" t="s">
        <v>289</v>
      </c>
      <c r="K408" s="24" t="s">
        <v>289</v>
      </c>
      <c r="L408" s="47">
        <f>L393+L401+L407</f>
        <v>26394.799999999999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390810.46</v>
      </c>
      <c r="H439" s="18"/>
      <c r="I439" s="56">
        <f t="shared" ref="I439:I445" si="33">SUM(F439:H439)</f>
        <v>390810.46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390810.46</v>
      </c>
      <c r="H446" s="13">
        <f>SUM(H439:H445)</f>
        <v>0</v>
      </c>
      <c r="I446" s="13">
        <f>SUM(I439:I445)</f>
        <v>390810.46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390810.46</v>
      </c>
      <c r="H459" s="18"/>
      <c r="I459" s="56">
        <f t="shared" si="34"/>
        <v>390810.46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390810.46</v>
      </c>
      <c r="H460" s="83">
        <f>SUM(H454:H459)</f>
        <v>0</v>
      </c>
      <c r="I460" s="83">
        <f>SUM(I454:I459)</f>
        <v>390810.46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390810.46</v>
      </c>
      <c r="H461" s="42">
        <f>H452+H460</f>
        <v>0</v>
      </c>
      <c r="I461" s="42">
        <f>I452+I460</f>
        <v>390810.46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341603.9</v>
      </c>
      <c r="G465" s="18">
        <v>10000</v>
      </c>
      <c r="H465" s="18">
        <v>0</v>
      </c>
      <c r="I465" s="18"/>
      <c r="J465" s="18">
        <v>364415.66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11779676.380000001</v>
      </c>
      <c r="G468" s="18">
        <v>153328.76</v>
      </c>
      <c r="H468" s="18">
        <v>122162.88</v>
      </c>
      <c r="I468" s="18"/>
      <c r="J468" s="18">
        <v>26394.799999999999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11779676.380000001</v>
      </c>
      <c r="G470" s="53">
        <f>SUM(G468:G469)</f>
        <v>153328.76</v>
      </c>
      <c r="H470" s="53">
        <f>SUM(H468:H469)</f>
        <v>122162.88</v>
      </c>
      <c r="I470" s="53">
        <f>SUM(I468:I469)</f>
        <v>0</v>
      </c>
      <c r="J470" s="53">
        <f>SUM(J468:J469)</f>
        <v>26394.799999999999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11821247.869999999</v>
      </c>
      <c r="G472" s="18">
        <v>153328.76</v>
      </c>
      <c r="H472" s="18">
        <v>122162.88</v>
      </c>
      <c r="I472" s="18"/>
      <c r="J472" s="18" t="s">
        <v>287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11821247.869999999</v>
      </c>
      <c r="G474" s="53">
        <f>SUM(G472:G473)</f>
        <v>153328.76</v>
      </c>
      <c r="H474" s="53">
        <f>SUM(H472:H473)</f>
        <v>122162.88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300032.41000000201</v>
      </c>
      <c r="G476" s="53">
        <f>(G465+G470)- G474</f>
        <v>10000</v>
      </c>
      <c r="H476" s="53">
        <f>(H465+H470)- H474</f>
        <v>0</v>
      </c>
      <c r="I476" s="53">
        <f>(I465+I470)- I474</f>
        <v>0</v>
      </c>
      <c r="J476" s="53">
        <f>(J465+J470)- J474</f>
        <v>390810.45999999996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14086.99</v>
      </c>
      <c r="G507" s="144">
        <v>6118.66</v>
      </c>
      <c r="H507" s="144"/>
      <c r="I507" s="144">
        <v>20205.650000000001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1369162.18</v>
      </c>
      <c r="G521" s="18">
        <v>574199.43999999994</v>
      </c>
      <c r="H521" s="18">
        <v>45144.01</v>
      </c>
      <c r="I521" s="18">
        <v>9875.31</v>
      </c>
      <c r="J521" s="18">
        <v>1456.48</v>
      </c>
      <c r="K521" s="18"/>
      <c r="L521" s="88">
        <f>SUM(F521:K521)</f>
        <v>1999837.42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741889.06</v>
      </c>
      <c r="I523" s="18"/>
      <c r="J523" s="18"/>
      <c r="K523" s="18"/>
      <c r="L523" s="88">
        <f>SUM(F523:K523)</f>
        <v>741889.06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1369162.18</v>
      </c>
      <c r="G524" s="108">
        <f t="shared" ref="G524:L524" si="36">SUM(G521:G523)</f>
        <v>574199.43999999994</v>
      </c>
      <c r="H524" s="108">
        <f t="shared" si="36"/>
        <v>787033.07000000007</v>
      </c>
      <c r="I524" s="108">
        <f t="shared" si="36"/>
        <v>9875.31</v>
      </c>
      <c r="J524" s="108">
        <f t="shared" si="36"/>
        <v>1456.48</v>
      </c>
      <c r="K524" s="108">
        <f t="shared" si="36"/>
        <v>0</v>
      </c>
      <c r="L524" s="89">
        <f t="shared" si="36"/>
        <v>2741726.48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234593.8</v>
      </c>
      <c r="I526" s="18" t="s">
        <v>287</v>
      </c>
      <c r="J526" s="18"/>
      <c r="K526" s="18"/>
      <c r="L526" s="88">
        <f>SUM(F526:K526)</f>
        <v>234593.8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14561.52</v>
      </c>
      <c r="I528" s="18"/>
      <c r="J528" s="18"/>
      <c r="K528" s="18"/>
      <c r="L528" s="88">
        <f>SUM(F528:K528)</f>
        <v>14561.52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249155.31999999998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249155.31999999998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12850.71</v>
      </c>
      <c r="G531" s="18">
        <v>7900.3</v>
      </c>
      <c r="H531" s="18">
        <v>463.2</v>
      </c>
      <c r="I531" s="18"/>
      <c r="J531" s="18"/>
      <c r="K531" s="18"/>
      <c r="L531" s="88">
        <f>SUM(F531:K531)</f>
        <v>21214.21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3212.68</v>
      </c>
      <c r="G533" s="18">
        <v>1975.09</v>
      </c>
      <c r="H533" s="18">
        <v>115.8</v>
      </c>
      <c r="I533" s="18"/>
      <c r="J533" s="18"/>
      <c r="K533" s="18"/>
      <c r="L533" s="88">
        <f>SUM(F533:K533)</f>
        <v>5303.57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16063.39</v>
      </c>
      <c r="G534" s="89">
        <f t="shared" ref="G534:L534" si="38">SUM(G531:G533)</f>
        <v>9875.39</v>
      </c>
      <c r="H534" s="89">
        <f t="shared" si="38"/>
        <v>579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26517.78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66543.12</v>
      </c>
      <c r="I541" s="18"/>
      <c r="J541" s="18"/>
      <c r="K541" s="18"/>
      <c r="L541" s="88">
        <f>SUM(F541:K541)</f>
        <v>66543.12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104000.41</v>
      </c>
      <c r="I543" s="18"/>
      <c r="J543" s="18"/>
      <c r="K543" s="18"/>
      <c r="L543" s="88">
        <f>SUM(F543:K543)</f>
        <v>104000.41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170543.53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170543.53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1385225.5699999998</v>
      </c>
      <c r="G545" s="89">
        <f t="shared" ref="G545:L545" si="41">G524+G529+G534+G539+G544</f>
        <v>584074.82999999996</v>
      </c>
      <c r="H545" s="89">
        <f t="shared" si="41"/>
        <v>1207310.92</v>
      </c>
      <c r="I545" s="89">
        <f t="shared" si="41"/>
        <v>9875.31</v>
      </c>
      <c r="J545" s="89">
        <f t="shared" si="41"/>
        <v>1456.48</v>
      </c>
      <c r="K545" s="89">
        <f t="shared" si="41"/>
        <v>0</v>
      </c>
      <c r="L545" s="89">
        <f t="shared" si="41"/>
        <v>3187943.1099999994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1999837.42</v>
      </c>
      <c r="G549" s="87">
        <f>L526</f>
        <v>234593.8</v>
      </c>
      <c r="H549" s="87">
        <f>L531</f>
        <v>21214.21</v>
      </c>
      <c r="I549" s="87">
        <f>L536</f>
        <v>0</v>
      </c>
      <c r="J549" s="87">
        <f>L541</f>
        <v>66543.12</v>
      </c>
      <c r="K549" s="87">
        <f>SUM(F549:J549)</f>
        <v>2322188.5499999998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741889.06</v>
      </c>
      <c r="G551" s="87">
        <f>L528</f>
        <v>14561.52</v>
      </c>
      <c r="H551" s="87">
        <f>L533</f>
        <v>5303.57</v>
      </c>
      <c r="I551" s="87">
        <f>L538</f>
        <v>0</v>
      </c>
      <c r="J551" s="87">
        <f>L543</f>
        <v>104000.41</v>
      </c>
      <c r="K551" s="87">
        <f>SUM(F551:J551)</f>
        <v>865754.56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2741726.48</v>
      </c>
      <c r="G552" s="89">
        <f t="shared" si="42"/>
        <v>249155.31999999998</v>
      </c>
      <c r="H552" s="89">
        <f t="shared" si="42"/>
        <v>26517.78</v>
      </c>
      <c r="I552" s="89">
        <f t="shared" si="42"/>
        <v>0</v>
      </c>
      <c r="J552" s="89">
        <f t="shared" si="42"/>
        <v>170543.53</v>
      </c>
      <c r="K552" s="89">
        <f t="shared" si="42"/>
        <v>3187943.11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 t="s">
        <v>287</v>
      </c>
      <c r="G562" s="18" t="s">
        <v>287</v>
      </c>
      <c r="H562" s="18">
        <v>15717.46</v>
      </c>
      <c r="I562" s="18"/>
      <c r="J562" s="18"/>
      <c r="K562" s="18"/>
      <c r="L562" s="88">
        <f>SUM(F562:K562)</f>
        <v>15717.46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15717.46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15717.46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15717.46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15717.46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2723588.92</v>
      </c>
      <c r="I575" s="87">
        <f>SUM(F575:H575)</f>
        <v>2723588.92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161170.04</v>
      </c>
      <c r="I577" s="87">
        <f t="shared" si="47"/>
        <v>161170.04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1047.75</v>
      </c>
      <c r="G579" s="18"/>
      <c r="H579" s="18">
        <v>706278.58</v>
      </c>
      <c r="I579" s="87">
        <f t="shared" si="47"/>
        <v>707326.33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6650</v>
      </c>
      <c r="I581" s="87">
        <f t="shared" si="47"/>
        <v>6650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2824.55</v>
      </c>
      <c r="I583" s="87">
        <f t="shared" si="47"/>
        <v>2824.55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364197.5</v>
      </c>
      <c r="I591" s="18"/>
      <c r="J591" s="18">
        <v>154352</v>
      </c>
      <c r="K591" s="104">
        <f t="shared" ref="K591:K597" si="48">SUM(H591:J591)</f>
        <v>518549.5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66543.12</v>
      </c>
      <c r="I592" s="18"/>
      <c r="J592" s="18">
        <v>104000.41</v>
      </c>
      <c r="K592" s="104">
        <f t="shared" si="48"/>
        <v>170543.53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4387.72</v>
      </c>
      <c r="I594" s="18"/>
      <c r="J594" s="18"/>
      <c r="K594" s="104">
        <f t="shared" si="48"/>
        <v>4387.72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3633.04</v>
      </c>
      <c r="I595" s="18"/>
      <c r="J595" s="18"/>
      <c r="K595" s="104">
        <f t="shared" si="48"/>
        <v>3633.04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438761.37999999995</v>
      </c>
      <c r="I598" s="108">
        <f>SUM(I591:I597)</f>
        <v>0</v>
      </c>
      <c r="J598" s="108">
        <f>SUM(J591:J597)</f>
        <v>258352.41</v>
      </c>
      <c r="K598" s="108">
        <f>SUM(K591:K597)</f>
        <v>697113.79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46798.69</v>
      </c>
      <c r="I604" s="18"/>
      <c r="J604" s="18"/>
      <c r="K604" s="104">
        <f>SUM(H604:J604)</f>
        <v>46798.69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46798.69</v>
      </c>
      <c r="I605" s="108">
        <f>SUM(I602:I604)</f>
        <v>0</v>
      </c>
      <c r="J605" s="108">
        <f>SUM(J602:J604)</f>
        <v>0</v>
      </c>
      <c r="K605" s="108">
        <f>SUM(K602:K604)</f>
        <v>46798.69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1269893.0499999998</v>
      </c>
      <c r="H617" s="109">
        <f>SUM(F52)</f>
        <v>1269893.05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12414.24</v>
      </c>
      <c r="H618" s="109">
        <f>SUM(G52)</f>
        <v>12414.24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37381.61</v>
      </c>
      <c r="H619" s="109">
        <f>SUM(H52)</f>
        <v>37381.61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390810.46</v>
      </c>
      <c r="H621" s="109">
        <f>SUM(J52)</f>
        <v>390810.46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300032.41000000003</v>
      </c>
      <c r="H622" s="109">
        <f>F476</f>
        <v>300032.41000000201</v>
      </c>
      <c r="I622" s="121" t="s">
        <v>101</v>
      </c>
      <c r="J622" s="109">
        <f t="shared" ref="J622:J655" si="50">G622-H622</f>
        <v>-1.9790604710578918E-9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10000</v>
      </c>
      <c r="H623" s="109">
        <f>G476</f>
        <v>10000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390810.46</v>
      </c>
      <c r="H626" s="109">
        <f>J476</f>
        <v>390810.45999999996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11779676.380000001</v>
      </c>
      <c r="H627" s="104">
        <f>SUM(F468)</f>
        <v>11779676.380000001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153328.76</v>
      </c>
      <c r="H628" s="104">
        <f>SUM(G468)</f>
        <v>153328.76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122162.88</v>
      </c>
      <c r="H629" s="104">
        <f>SUM(H468)</f>
        <v>122162.88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26394.799999999999</v>
      </c>
      <c r="H631" s="104">
        <f>SUM(J468)</f>
        <v>26394.799999999999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11821247.869999999</v>
      </c>
      <c r="H632" s="104">
        <f>SUM(F472)</f>
        <v>11821247.869999999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122162.88</v>
      </c>
      <c r="H633" s="104">
        <f>SUM(H472)</f>
        <v>122162.88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60480.11</v>
      </c>
      <c r="H634" s="104">
        <f>I369</f>
        <v>60480.11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153328.76</v>
      </c>
      <c r="H635" s="104">
        <f>SUM(G472)</f>
        <v>153328.76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26394.799999999999</v>
      </c>
      <c r="H637" s="164">
        <f>SUM(J468)</f>
        <v>26394.799999999999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390810.46</v>
      </c>
      <c r="H640" s="104">
        <f>SUM(G461)</f>
        <v>390810.46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390810.46</v>
      </c>
      <c r="H642" s="104">
        <f>SUM(I461)</f>
        <v>390810.46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1295.22</v>
      </c>
      <c r="H644" s="104">
        <f>H408</f>
        <v>1295.22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26394.799999999999</v>
      </c>
      <c r="H646" s="104">
        <f>L408</f>
        <v>26394.799999999999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697113.79</v>
      </c>
      <c r="H647" s="104">
        <f>L208+L226+L244</f>
        <v>697113.79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46798.69</v>
      </c>
      <c r="H648" s="104">
        <f>(J257+J338)-(J255+J336)</f>
        <v>46798.69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438761.38</v>
      </c>
      <c r="H649" s="104">
        <f>H598</f>
        <v>438761.37999999995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258352.41</v>
      </c>
      <c r="H651" s="104">
        <f>J598</f>
        <v>258352.41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30398.14</v>
      </c>
      <c r="H652" s="104">
        <f>K263+K345</f>
        <v>30398.14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8077422.8299999982</v>
      </c>
      <c r="G660" s="19">
        <f>(L229+L309+L359)</f>
        <v>0</v>
      </c>
      <c r="H660" s="19">
        <f>(L247+L328+L360)</f>
        <v>3899561.95</v>
      </c>
      <c r="I660" s="19">
        <f>SUM(F660:H660)</f>
        <v>11976984.779999997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75110.430000000008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75110.430000000008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438761.38</v>
      </c>
      <c r="G662" s="19">
        <f>(L226+L306)-(J226+J306)</f>
        <v>0</v>
      </c>
      <c r="H662" s="19">
        <f>(L244+L325)-(J244+J325)</f>
        <v>258352.41</v>
      </c>
      <c r="I662" s="19">
        <f>SUM(F662:H662)</f>
        <v>697113.79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47846.44</v>
      </c>
      <c r="G663" s="199">
        <f>SUM(G575:G587)+SUM(I602:I604)+L612</f>
        <v>0</v>
      </c>
      <c r="H663" s="199">
        <f>SUM(H575:H587)+SUM(J602:J604)+L613</f>
        <v>3600512.09</v>
      </c>
      <c r="I663" s="19">
        <f>SUM(F663:H663)</f>
        <v>3648358.53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7515704.5799999982</v>
      </c>
      <c r="G664" s="19">
        <f>G660-SUM(G661:G663)</f>
        <v>0</v>
      </c>
      <c r="H664" s="19">
        <f>H660-SUM(H661:H663)</f>
        <v>40697.450000000186</v>
      </c>
      <c r="I664" s="19">
        <f>I660-SUM(I661:I663)</f>
        <v>7556402.0299999975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446.93</v>
      </c>
      <c r="G665" s="248"/>
      <c r="H665" s="248"/>
      <c r="I665" s="19">
        <f>SUM(F665:H665)</f>
        <v>446.93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16816.29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16907.349999999999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-40697.449999999997</v>
      </c>
      <c r="I669" s="19">
        <f>SUM(F669:H669)</f>
        <v>-40697.449999999997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16816.29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16816.29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82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DEERFIELD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2382806.2400000002</v>
      </c>
      <c r="C9" s="229">
        <f>'DOE25'!G197+'DOE25'!G215+'DOE25'!G233+'DOE25'!G276+'DOE25'!G295+'DOE25'!G314</f>
        <v>987855.19</v>
      </c>
    </row>
    <row r="10" spans="1:3" x14ac:dyDescent="0.2">
      <c r="A10" t="s">
        <v>779</v>
      </c>
      <c r="B10" s="240">
        <v>2247946.5299999998</v>
      </c>
      <c r="C10" s="240">
        <v>931945.54</v>
      </c>
    </row>
    <row r="11" spans="1:3" x14ac:dyDescent="0.2">
      <c r="A11" t="s">
        <v>780</v>
      </c>
      <c r="B11" s="240">
        <v>73586.240000000005</v>
      </c>
      <c r="C11" s="240">
        <v>30507.119999999999</v>
      </c>
    </row>
    <row r="12" spans="1:3" x14ac:dyDescent="0.2">
      <c r="A12" t="s">
        <v>781</v>
      </c>
      <c r="B12" s="240">
        <v>61273.47</v>
      </c>
      <c r="C12" s="240">
        <v>25402.53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2382806.2400000002</v>
      </c>
      <c r="C13" s="231">
        <f>SUM(C10:C12)</f>
        <v>987855.19000000006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1369162.18</v>
      </c>
      <c r="C18" s="229">
        <f>'DOE25'!G198+'DOE25'!G216+'DOE25'!G234+'DOE25'!G277+'DOE25'!G296+'DOE25'!G315</f>
        <v>574199.43999999994</v>
      </c>
    </row>
    <row r="19" spans="1:3" x14ac:dyDescent="0.2">
      <c r="A19" t="s">
        <v>779</v>
      </c>
      <c r="B19" s="240">
        <v>714932.44</v>
      </c>
      <c r="C19" s="240">
        <v>299828.46999999997</v>
      </c>
    </row>
    <row r="20" spans="1:3" x14ac:dyDescent="0.2">
      <c r="A20" t="s">
        <v>780</v>
      </c>
      <c r="B20" s="240">
        <v>573908.97</v>
      </c>
      <c r="C20" s="240">
        <v>240686.03</v>
      </c>
    </row>
    <row r="21" spans="1:3" x14ac:dyDescent="0.2">
      <c r="A21" t="s">
        <v>781</v>
      </c>
      <c r="B21" s="240">
        <v>80320.77</v>
      </c>
      <c r="C21" s="240">
        <v>33684.94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1369162.18</v>
      </c>
      <c r="C22" s="231">
        <f>SUM(C19:C21)</f>
        <v>574199.43999999994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17510</v>
      </c>
      <c r="C36" s="235">
        <f>'DOE25'!G200+'DOE25'!G218+'DOE25'!G236+'DOE25'!G279+'DOE25'!G298+'DOE25'!G317</f>
        <v>7433</v>
      </c>
    </row>
    <row r="37" spans="1:3" x14ac:dyDescent="0.2">
      <c r="A37" t="s">
        <v>779</v>
      </c>
      <c r="B37" s="240">
        <v>17510</v>
      </c>
      <c r="C37" s="240">
        <v>7433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17510</v>
      </c>
      <c r="C40" s="231">
        <f>SUM(C37:C39)</f>
        <v>7433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DEERFIELD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9114838.4299999997</v>
      </c>
      <c r="D5" s="20">
        <f>SUM('DOE25'!L197:L200)+SUM('DOE25'!L215:L218)+SUM('DOE25'!L233:L236)-F5-G5</f>
        <v>9078002.4000000004</v>
      </c>
      <c r="E5" s="243"/>
      <c r="F5" s="255">
        <f>SUM('DOE25'!J197:J200)+SUM('DOE25'!J215:J218)+SUM('DOE25'!J233:J236)</f>
        <v>36836.030000000006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520021.81</v>
      </c>
      <c r="D6" s="20">
        <f>'DOE25'!L202+'DOE25'!L220+'DOE25'!L238-F6-G6</f>
        <v>520021.81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155160.18000000002</v>
      </c>
      <c r="D7" s="20">
        <f>'DOE25'!L203+'DOE25'!L221+'DOE25'!L239-F7-G7</f>
        <v>153987.26</v>
      </c>
      <c r="E7" s="243"/>
      <c r="F7" s="255">
        <f>'DOE25'!J203+'DOE25'!J221+'DOE25'!J239</f>
        <v>497.92</v>
      </c>
      <c r="G7" s="53">
        <f>'DOE25'!K203+'DOE25'!K221+'DOE25'!K239</f>
        <v>675</v>
      </c>
      <c r="H7" s="259"/>
    </row>
    <row r="8" spans="1:9" x14ac:dyDescent="0.2">
      <c r="A8" s="32">
        <v>2300</v>
      </c>
      <c r="B8" t="s">
        <v>802</v>
      </c>
      <c r="C8" s="245">
        <f t="shared" si="0"/>
        <v>200984.07999999996</v>
      </c>
      <c r="D8" s="243"/>
      <c r="E8" s="20">
        <f>'DOE25'!L204+'DOE25'!L222+'DOE25'!L240-F8-G8-D9-D11</f>
        <v>192672.27999999997</v>
      </c>
      <c r="F8" s="255">
        <f>'DOE25'!J204+'DOE25'!J222+'DOE25'!J240</f>
        <v>0</v>
      </c>
      <c r="G8" s="53">
        <f>'DOE25'!K204+'DOE25'!K222+'DOE25'!K240</f>
        <v>8311.7999999999993</v>
      </c>
      <c r="H8" s="259"/>
    </row>
    <row r="9" spans="1:9" x14ac:dyDescent="0.2">
      <c r="A9" s="32">
        <v>2310</v>
      </c>
      <c r="B9" t="s">
        <v>818</v>
      </c>
      <c r="C9" s="245">
        <f t="shared" si="0"/>
        <v>7068.07</v>
      </c>
      <c r="D9" s="244">
        <v>7068.07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5040</v>
      </c>
      <c r="D10" s="243"/>
      <c r="E10" s="244">
        <v>5040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79143.37</v>
      </c>
      <c r="D11" s="244">
        <v>79143.37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443913.14999999997</v>
      </c>
      <c r="D12" s="20">
        <f>'DOE25'!L205+'DOE25'!L223+'DOE25'!L241-F12-G12</f>
        <v>441011.39999999997</v>
      </c>
      <c r="E12" s="243"/>
      <c r="F12" s="255">
        <f>'DOE25'!J205+'DOE25'!J223+'DOE25'!J241</f>
        <v>0</v>
      </c>
      <c r="G12" s="53">
        <f>'DOE25'!K205+'DOE25'!K223+'DOE25'!K241</f>
        <v>2901.75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483250.26</v>
      </c>
      <c r="D14" s="20">
        <f>'DOE25'!L207+'DOE25'!L225+'DOE25'!L243-F14-G14</f>
        <v>477510.85000000003</v>
      </c>
      <c r="E14" s="243"/>
      <c r="F14" s="255">
        <f>'DOE25'!J207+'DOE25'!J225+'DOE25'!J243</f>
        <v>5739.41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697113.79</v>
      </c>
      <c r="D15" s="20">
        <f>'DOE25'!L208+'DOE25'!L226+'DOE25'!L244-F15-G15</f>
        <v>697113.79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63279</v>
      </c>
      <c r="D22" s="243"/>
      <c r="E22" s="243"/>
      <c r="F22" s="255">
        <f>'DOE25'!L255+'DOE25'!L336</f>
        <v>63279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100037.51000000001</v>
      </c>
      <c r="D29" s="20">
        <f>'DOE25'!L358+'DOE25'!L359+'DOE25'!L360-'DOE25'!I367-F29-G29</f>
        <v>100037.51000000001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122162.88</v>
      </c>
      <c r="D31" s="20">
        <f>'DOE25'!L290+'DOE25'!L309+'DOE25'!L328+'DOE25'!L333+'DOE25'!L334+'DOE25'!L335-F31-G31</f>
        <v>117068.61</v>
      </c>
      <c r="E31" s="243"/>
      <c r="F31" s="255">
        <f>'DOE25'!J290+'DOE25'!J309+'DOE25'!J328+'DOE25'!J333+'DOE25'!J334+'DOE25'!J335</f>
        <v>3725.33</v>
      </c>
      <c r="G31" s="53">
        <f>'DOE25'!K290+'DOE25'!K309+'DOE25'!K328+'DOE25'!K333+'DOE25'!K334+'DOE25'!K335</f>
        <v>1368.94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11670965.069999998</v>
      </c>
      <c r="E33" s="246">
        <f>SUM(E5:E31)</f>
        <v>197712.27999999997</v>
      </c>
      <c r="F33" s="246">
        <f>SUM(F5:F31)</f>
        <v>110077.69</v>
      </c>
      <c r="G33" s="246">
        <f>SUM(G5:G31)</f>
        <v>13257.49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197712.27999999997</v>
      </c>
      <c r="E35" s="249"/>
    </row>
    <row r="36" spans="2:8" ht="12" thickTop="1" x14ac:dyDescent="0.2">
      <c r="B36" t="s">
        <v>815</v>
      </c>
      <c r="D36" s="20">
        <f>D33</f>
        <v>11670965.069999998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DEERFIELD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1209687.1399999999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390810.46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29688.95</v>
      </c>
      <c r="D11" s="95">
        <f>'DOE25'!G12</f>
        <v>2252.4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30516.959999999999</v>
      </c>
      <c r="D12" s="95">
        <f>'DOE25'!G13</f>
        <v>2883.94</v>
      </c>
      <c r="E12" s="95">
        <f>'DOE25'!H13</f>
        <v>37381.61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7277.9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1269893.0499999998</v>
      </c>
      <c r="D18" s="41">
        <f>SUM(D8:D17)</f>
        <v>12414.24</v>
      </c>
      <c r="E18" s="41">
        <f>SUM(E8:E17)</f>
        <v>37381.61</v>
      </c>
      <c r="F18" s="41">
        <f>SUM(F8:F17)</f>
        <v>0</v>
      </c>
      <c r="G18" s="41">
        <f>SUM(G8:G17)</f>
        <v>390810.46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 t="str">
        <f>'DOE25'!F22</f>
        <v xml:space="preserve"> </v>
      </c>
      <c r="D21" s="95" t="str">
        <f>'DOE25'!G22</f>
        <v xml:space="preserve"> </v>
      </c>
      <c r="E21" s="95">
        <f>'DOE25'!H22</f>
        <v>31941.35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819400.6</v>
      </c>
      <c r="D22" s="95">
        <f>'DOE25'!G23</f>
        <v>2414.2399999999998</v>
      </c>
      <c r="E22" s="95">
        <f>'DOE25'!H23</f>
        <v>5440.26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20205.650000000001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130254.39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969860.64</v>
      </c>
      <c r="D31" s="41">
        <f>SUM(D21:D30)</f>
        <v>2414.2399999999998</v>
      </c>
      <c r="E31" s="41">
        <f>SUM(E21:E30)</f>
        <v>37381.61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10000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156000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 t="str">
        <f>'DOE25'!F48</f>
        <v xml:space="preserve"> 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390810.46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74032.41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300032.41000000003</v>
      </c>
      <c r="D50" s="41">
        <f>SUM(D34:D49)</f>
        <v>10000</v>
      </c>
      <c r="E50" s="41">
        <f>SUM(E34:E49)</f>
        <v>0</v>
      </c>
      <c r="F50" s="41">
        <f>SUM(F34:F49)</f>
        <v>0</v>
      </c>
      <c r="G50" s="41">
        <f>SUM(G34:G49)</f>
        <v>390810.46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1269893.05</v>
      </c>
      <c r="D51" s="41">
        <f>D50+D31</f>
        <v>12414.24</v>
      </c>
      <c r="E51" s="41">
        <f>E50+E31</f>
        <v>37381.61</v>
      </c>
      <c r="F51" s="41">
        <f>F50+F31</f>
        <v>0</v>
      </c>
      <c r="G51" s="41">
        <f>G50+G31</f>
        <v>390810.46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8640566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18220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1295.22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72972.66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14126.5</v>
      </c>
      <c r="D61" s="95">
        <f>SUM('DOE25'!G98:G110)</f>
        <v>2137.77</v>
      </c>
      <c r="E61" s="95">
        <f>SUM('DOE25'!H98:H110)</f>
        <v>0</v>
      </c>
      <c r="F61" s="95">
        <f>SUM('DOE25'!I98:I110)</f>
        <v>0</v>
      </c>
      <c r="G61" s="95">
        <f>SUM('DOE25'!J98:J110)</f>
        <v>99.58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32346.5</v>
      </c>
      <c r="D62" s="130">
        <f>SUM(D57:D61)</f>
        <v>75110.430000000008</v>
      </c>
      <c r="E62" s="130">
        <f>SUM(E57:E61)</f>
        <v>0</v>
      </c>
      <c r="F62" s="130">
        <f>SUM(F57:F61)</f>
        <v>0</v>
      </c>
      <c r="G62" s="130">
        <f>SUM(G57:G61)</f>
        <v>1394.8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8672912.5</v>
      </c>
      <c r="D63" s="22">
        <f>D56+D62</f>
        <v>75110.430000000008</v>
      </c>
      <c r="E63" s="22">
        <f>E56+E62</f>
        <v>0</v>
      </c>
      <c r="F63" s="22">
        <f>F56+F62</f>
        <v>0</v>
      </c>
      <c r="G63" s="22">
        <f>G56+G62</f>
        <v>1394.8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1786724.74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1077704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2864428.74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25896.06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133.11000000000001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25896.06</v>
      </c>
      <c r="D78" s="130">
        <f>SUM(D72:D77)</f>
        <v>133.11000000000001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2890324.8000000003</v>
      </c>
      <c r="D81" s="130">
        <f>SUM(D79:D80)+D78+D70</f>
        <v>133.11000000000001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216439.08000000002</v>
      </c>
      <c r="D88" s="95">
        <f>SUM('DOE25'!G153:G161)</f>
        <v>47687.08</v>
      </c>
      <c r="E88" s="95">
        <f>SUM('DOE25'!H153:H161)</f>
        <v>122162.88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216439.08000000002</v>
      </c>
      <c r="D91" s="131">
        <f>SUM(D85:D90)</f>
        <v>47687.08</v>
      </c>
      <c r="E91" s="131">
        <f>SUM(E85:E90)</f>
        <v>122162.88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30398.14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30398.14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11779676.380000001</v>
      </c>
      <c r="D104" s="86">
        <f>D63+D81+D91+D103</f>
        <v>153328.76</v>
      </c>
      <c r="E104" s="86">
        <f>E63+E81+E91+E103</f>
        <v>122162.88</v>
      </c>
      <c r="F104" s="86">
        <f>F63+F81+F91+F103</f>
        <v>0</v>
      </c>
      <c r="G104" s="86">
        <f>G63+G81+G103</f>
        <v>26394.799999999999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6339775.7299999995</v>
      </c>
      <c r="D109" s="24" t="s">
        <v>289</v>
      </c>
      <c r="E109" s="95">
        <f>('DOE25'!L276)+('DOE25'!L295)+('DOE25'!L314)</f>
        <v>71778.58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2741726.4799999995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33336.22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9114838.4299999997</v>
      </c>
      <c r="D115" s="86">
        <f>SUM(D109:D114)</f>
        <v>0</v>
      </c>
      <c r="E115" s="86">
        <f>SUM(E109:E114)</f>
        <v>71778.58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520021.81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155160.18000000002</v>
      </c>
      <c r="D119" s="24" t="s">
        <v>289</v>
      </c>
      <c r="E119" s="95">
        <f>+('DOE25'!L282)+('DOE25'!L301)+('DOE25'!L320)</f>
        <v>49015.360000000001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287195.51999999996</v>
      </c>
      <c r="D120" s="24" t="s">
        <v>289</v>
      </c>
      <c r="E120" s="95">
        <f>+('DOE25'!L283)+('DOE25'!L302)+('DOE25'!L321)</f>
        <v>1368.94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443913.14999999997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483250.26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697113.79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153328.76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2586654.71</v>
      </c>
      <c r="D128" s="86">
        <f>SUM(D118:D127)</f>
        <v>153328.76</v>
      </c>
      <c r="E128" s="86">
        <f>SUM(E118:E127)</f>
        <v>50384.3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63279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30398.14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26394.799999999999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-1394.7999999999993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1077.5899999999999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119754.73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11821247.870000001</v>
      </c>
      <c r="D145" s="86">
        <f>(D115+D128+D144)</f>
        <v>153328.76</v>
      </c>
      <c r="E145" s="86">
        <f>(E115+E128+E144)</f>
        <v>122162.88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DEERFIELD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16816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16816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6411554</v>
      </c>
      <c r="D10" s="182">
        <f>ROUND((C10/$C$28)*100,1)</f>
        <v>53.9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2741726</v>
      </c>
      <c r="D11" s="182">
        <f>ROUND((C11/$C$28)*100,1)</f>
        <v>23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33336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520022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204176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288564</v>
      </c>
      <c r="D17" s="182">
        <f t="shared" si="0"/>
        <v>2.4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443913</v>
      </c>
      <c r="D18" s="182">
        <f t="shared" si="0"/>
        <v>3.7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483250</v>
      </c>
      <c r="D20" s="182">
        <f t="shared" si="0"/>
        <v>4.0999999999999996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697114</v>
      </c>
      <c r="D21" s="182">
        <f t="shared" si="0"/>
        <v>5.9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1077.5899999999999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78218.569999999992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11902951.16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63279</v>
      </c>
    </row>
    <row r="30" spans="1:4" x14ac:dyDescent="0.2">
      <c r="B30" s="187" t="s">
        <v>729</v>
      </c>
      <c r="C30" s="180">
        <f>SUM(C28:C29)</f>
        <v>11966230.16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8640566</v>
      </c>
      <c r="D35" s="182">
        <f t="shared" ref="D35:D40" si="1">ROUND((C35/$C$41)*100,1)</f>
        <v>72.3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33741.300000000745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2864429</v>
      </c>
      <c r="D37" s="182">
        <f t="shared" si="1"/>
        <v>24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26029</v>
      </c>
      <c r="D38" s="182">
        <f t="shared" si="1"/>
        <v>0.2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386289</v>
      </c>
      <c r="D39" s="182">
        <f t="shared" si="1"/>
        <v>3.2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11951054.300000001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25" sqref="C25:M2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DEERFIELD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24</v>
      </c>
      <c r="C4" s="284" t="s">
        <v>912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16</v>
      </c>
      <c r="B5" s="219">
        <v>9</v>
      </c>
      <c r="C5" s="284" t="s">
        <v>912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16</v>
      </c>
      <c r="B6" s="219">
        <v>10</v>
      </c>
      <c r="C6" s="284" t="s">
        <v>912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16</v>
      </c>
      <c r="B7" s="219">
        <v>13</v>
      </c>
      <c r="C7" s="284" t="s">
        <v>912</v>
      </c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2014-08-27T18:23:36Z</cp:lastPrinted>
  <dcterms:created xsi:type="dcterms:W3CDTF">1997-12-04T19:04:30Z</dcterms:created>
  <dcterms:modified xsi:type="dcterms:W3CDTF">2014-09-02T17:00:48Z</dcterms:modified>
</cp:coreProperties>
</file>