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90" windowWidth="12735" windowHeight="61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233" i="1" l="1"/>
  <c r="H583" i="1"/>
  <c r="F583" i="1"/>
  <c r="F49" i="1" l="1"/>
  <c r="F472" i="1"/>
  <c r="H522" i="1"/>
  <c r="H216" i="1"/>
  <c r="F24" i="1"/>
  <c r="H543" i="1"/>
  <c r="H542" i="1"/>
  <c r="H541" i="1"/>
  <c r="D11" i="13"/>
  <c r="D9" i="13"/>
  <c r="C9" i="13" s="1"/>
  <c r="F282" i="1"/>
  <c r="B19" i="12"/>
  <c r="B20" i="12"/>
  <c r="G301" i="1"/>
  <c r="G296" i="1"/>
  <c r="F301" i="1"/>
  <c r="F296" i="1"/>
  <c r="F277" i="1"/>
  <c r="G277" i="1"/>
  <c r="H277" i="1"/>
  <c r="F276" i="1"/>
  <c r="H604" i="1"/>
  <c r="I604" i="1"/>
  <c r="J604" i="1"/>
  <c r="H579" i="1"/>
  <c r="F582" i="1"/>
  <c r="H575" i="1"/>
  <c r="K296" i="1"/>
  <c r="K521" i="1"/>
  <c r="J521" i="1"/>
  <c r="I521" i="1"/>
  <c r="H521" i="1"/>
  <c r="I527" i="1"/>
  <c r="L527" i="1" s="1"/>
  <c r="G550" i="1" s="1"/>
  <c r="I526" i="1"/>
  <c r="H527" i="1"/>
  <c r="H526" i="1"/>
  <c r="L526" i="1"/>
  <c r="G526" i="1"/>
  <c r="F526" i="1"/>
  <c r="K526" i="1"/>
  <c r="K528" i="1"/>
  <c r="H528" i="1"/>
  <c r="J526" i="1"/>
  <c r="G522" i="1"/>
  <c r="G521" i="1"/>
  <c r="L521" i="1" s="1"/>
  <c r="F522" i="1"/>
  <c r="F521" i="1"/>
  <c r="K301" i="1"/>
  <c r="J301" i="1"/>
  <c r="J309" i="1" s="1"/>
  <c r="I301" i="1"/>
  <c r="H301" i="1"/>
  <c r="K281" i="1"/>
  <c r="J281" i="1"/>
  <c r="I276" i="1"/>
  <c r="I281" i="1"/>
  <c r="H281" i="1"/>
  <c r="G276" i="1"/>
  <c r="G281" i="1"/>
  <c r="F281" i="1"/>
  <c r="I495" i="1"/>
  <c r="G495" i="1"/>
  <c r="F495" i="1"/>
  <c r="H495" i="1"/>
  <c r="F202" i="1"/>
  <c r="G202" i="1"/>
  <c r="G220" i="1"/>
  <c r="F220" i="1"/>
  <c r="G238" i="1"/>
  <c r="I225" i="1"/>
  <c r="I207" i="1"/>
  <c r="G207" i="1"/>
  <c r="G225" i="1"/>
  <c r="I205" i="1"/>
  <c r="H223" i="1"/>
  <c r="G223" i="1"/>
  <c r="H205" i="1"/>
  <c r="G205" i="1"/>
  <c r="L205" i="1" s="1"/>
  <c r="H208" i="1"/>
  <c r="H226" i="1"/>
  <c r="H244" i="1"/>
  <c r="H225" i="1"/>
  <c r="L225" i="1" s="1"/>
  <c r="F225" i="1"/>
  <c r="H207" i="1"/>
  <c r="F207" i="1"/>
  <c r="H222" i="1"/>
  <c r="I204" i="1"/>
  <c r="H204" i="1"/>
  <c r="J221" i="1"/>
  <c r="I221" i="1"/>
  <c r="H221" i="1"/>
  <c r="G221" i="1"/>
  <c r="F221" i="1"/>
  <c r="J203" i="1"/>
  <c r="I203" i="1"/>
  <c r="H203" i="1"/>
  <c r="G203" i="1"/>
  <c r="F203" i="1"/>
  <c r="L203" i="1" s="1"/>
  <c r="H238" i="1"/>
  <c r="I220" i="1"/>
  <c r="H220" i="1"/>
  <c r="I202" i="1"/>
  <c r="H202" i="1"/>
  <c r="J605" i="1"/>
  <c r="I218" i="1"/>
  <c r="H218" i="1"/>
  <c r="G218" i="1"/>
  <c r="F218" i="1"/>
  <c r="G200" i="1"/>
  <c r="F200" i="1"/>
  <c r="F216" i="1"/>
  <c r="F198" i="1"/>
  <c r="I216" i="1"/>
  <c r="I198" i="1"/>
  <c r="L198" i="1" s="1"/>
  <c r="H198" i="1"/>
  <c r="G197" i="1"/>
  <c r="I215" i="1"/>
  <c r="I197" i="1"/>
  <c r="H197" i="1"/>
  <c r="H215" i="1"/>
  <c r="F215" i="1"/>
  <c r="F197" i="1"/>
  <c r="G215" i="1"/>
  <c r="F110" i="1"/>
  <c r="F66" i="1"/>
  <c r="F79" i="1" s="1"/>
  <c r="F63" i="1"/>
  <c r="H321" i="1"/>
  <c r="H314" i="1"/>
  <c r="H282" i="1"/>
  <c r="H290" i="1" s="1"/>
  <c r="G282" i="1"/>
  <c r="I282" i="1"/>
  <c r="J282" i="1"/>
  <c r="K282" i="1"/>
  <c r="K290" i="1" s="1"/>
  <c r="G321" i="1"/>
  <c r="H472" i="1"/>
  <c r="H468" i="1"/>
  <c r="H320" i="1"/>
  <c r="K333" i="1"/>
  <c r="I333" i="1"/>
  <c r="H333" i="1"/>
  <c r="G333" i="1"/>
  <c r="F333" i="1"/>
  <c r="H155" i="1"/>
  <c r="H154" i="1"/>
  <c r="H157" i="1"/>
  <c r="H23" i="1"/>
  <c r="H465" i="1"/>
  <c r="K321" i="1"/>
  <c r="J314" i="1"/>
  <c r="I314" i="1"/>
  <c r="I321" i="1"/>
  <c r="G314" i="1"/>
  <c r="H324" i="1"/>
  <c r="L324" i="1" s="1"/>
  <c r="G368" i="1"/>
  <c r="F368" i="1"/>
  <c r="F367" i="1"/>
  <c r="I359" i="1"/>
  <c r="I358" i="1"/>
  <c r="H359" i="1"/>
  <c r="H358" i="1"/>
  <c r="G158" i="1"/>
  <c r="G16" i="1"/>
  <c r="C45" i="2"/>
  <c r="G51" i="1"/>
  <c r="F51" i="1"/>
  <c r="C37" i="10"/>
  <c r="F40" i="2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F5" i="13"/>
  <c r="L199" i="1"/>
  <c r="L216" i="1"/>
  <c r="L217" i="1"/>
  <c r="L233" i="1"/>
  <c r="L247" i="1" s="1"/>
  <c r="L234" i="1"/>
  <c r="L236" i="1"/>
  <c r="F6" i="13"/>
  <c r="G6" i="13"/>
  <c r="L220" i="1"/>
  <c r="L238" i="1"/>
  <c r="G7" i="13"/>
  <c r="L239" i="1"/>
  <c r="F12" i="13"/>
  <c r="G12" i="13"/>
  <c r="L223" i="1"/>
  <c r="L241" i="1"/>
  <c r="F14" i="13"/>
  <c r="G14" i="13"/>
  <c r="L207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D19" i="13" s="1"/>
  <c r="G19" i="13"/>
  <c r="L253" i="1"/>
  <c r="F29" i="13"/>
  <c r="G29" i="13"/>
  <c r="L358" i="1"/>
  <c r="L360" i="1"/>
  <c r="I367" i="1"/>
  <c r="K309" i="1"/>
  <c r="K328" i="1"/>
  <c r="L278" i="1"/>
  <c r="L279" i="1"/>
  <c r="L282" i="1"/>
  <c r="L283" i="1"/>
  <c r="E120" i="2" s="1"/>
  <c r="L284" i="1"/>
  <c r="L285" i="1"/>
  <c r="L286" i="1"/>
  <c r="E123" i="2" s="1"/>
  <c r="L287" i="1"/>
  <c r="L288" i="1"/>
  <c r="L295" i="1"/>
  <c r="L296" i="1"/>
  <c r="L297" i="1"/>
  <c r="L298" i="1"/>
  <c r="L300" i="1"/>
  <c r="L302" i="1"/>
  <c r="L303" i="1"/>
  <c r="L304" i="1"/>
  <c r="C19" i="10" s="1"/>
  <c r="L305" i="1"/>
  <c r="L306" i="1"/>
  <c r="L307" i="1"/>
  <c r="L315" i="1"/>
  <c r="L316" i="1"/>
  <c r="L317" i="1"/>
  <c r="E112" i="2" s="1"/>
  <c r="L319" i="1"/>
  <c r="L321" i="1"/>
  <c r="L322" i="1"/>
  <c r="E121" i="2" s="1"/>
  <c r="L323" i="1"/>
  <c r="L325" i="1"/>
  <c r="L326" i="1"/>
  <c r="E125" i="2" s="1"/>
  <c r="L334" i="1"/>
  <c r="L335" i="1"/>
  <c r="L260" i="1"/>
  <c r="L261" i="1"/>
  <c r="L341" i="1"/>
  <c r="L342" i="1"/>
  <c r="L255" i="1"/>
  <c r="L336" i="1"/>
  <c r="C11" i="13"/>
  <c r="C10" i="13"/>
  <c r="L361" i="1"/>
  <c r="B4" i="12"/>
  <c r="C36" i="12"/>
  <c r="B40" i="12"/>
  <c r="C40" i="12"/>
  <c r="B27" i="12"/>
  <c r="C27" i="12"/>
  <c r="B31" i="12"/>
  <c r="C31" i="12"/>
  <c r="B13" i="12"/>
  <c r="C13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63" i="2" s="1"/>
  <c r="G59" i="2"/>
  <c r="G61" i="2"/>
  <c r="F2" i="11"/>
  <c r="L613" i="1"/>
  <c r="L612" i="1"/>
  <c r="L611" i="1"/>
  <c r="C40" i="10"/>
  <c r="F60" i="1"/>
  <c r="G60" i="1"/>
  <c r="G112" i="1" s="1"/>
  <c r="H60" i="1"/>
  <c r="E56" i="2" s="1"/>
  <c r="I60" i="1"/>
  <c r="I112" i="1" s="1"/>
  <c r="F94" i="1"/>
  <c r="F111" i="1"/>
  <c r="G111" i="1"/>
  <c r="H79" i="1"/>
  <c r="H94" i="1"/>
  <c r="E58" i="2" s="1"/>
  <c r="E62" i="2" s="1"/>
  <c r="H111" i="1"/>
  <c r="I111" i="1"/>
  <c r="J111" i="1"/>
  <c r="J112" i="1" s="1"/>
  <c r="J193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H147" i="1"/>
  <c r="E85" i="2" s="1"/>
  <c r="I147" i="1"/>
  <c r="I162" i="1"/>
  <c r="L250" i="1"/>
  <c r="C113" i="2" s="1"/>
  <c r="L332" i="1"/>
  <c r="L254" i="1"/>
  <c r="C25" i="10"/>
  <c r="L268" i="1"/>
  <c r="L269" i="1"/>
  <c r="L349" i="1"/>
  <c r="L350" i="1"/>
  <c r="I665" i="1"/>
  <c r="I670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2" i="1"/>
  <c r="F550" i="1"/>
  <c r="L523" i="1"/>
  <c r="F551" i="1" s="1"/>
  <c r="L531" i="1"/>
  <c r="H549" i="1"/>
  <c r="L532" i="1"/>
  <c r="L533" i="1"/>
  <c r="H551" i="1"/>
  <c r="L536" i="1"/>
  <c r="L537" i="1"/>
  <c r="I550" i="1"/>
  <c r="L538" i="1"/>
  <c r="I551" i="1" s="1"/>
  <c r="L541" i="1"/>
  <c r="J549" i="1"/>
  <c r="L542" i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F18" i="2" s="1"/>
  <c r="I439" i="1"/>
  <c r="J9" i="1"/>
  <c r="G8" i="2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C12" i="2"/>
  <c r="D12" i="2"/>
  <c r="E12" i="2"/>
  <c r="E18" i="2" s="1"/>
  <c r="F12" i="2"/>
  <c r="I442" i="1"/>
  <c r="J13" i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J32" i="1" s="1"/>
  <c r="C22" i="2"/>
  <c r="D22" i="2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 s="1"/>
  <c r="I457" i="1"/>
  <c r="J37" i="1"/>
  <c r="I459" i="1"/>
  <c r="J48" i="1" s="1"/>
  <c r="C49" i="2"/>
  <c r="C56" i="2"/>
  <c r="D56" i="2"/>
  <c r="D63" i="2" s="1"/>
  <c r="F56" i="2"/>
  <c r="E57" i="2"/>
  <c r="C58" i="2"/>
  <c r="C59" i="2"/>
  <c r="D59" i="2"/>
  <c r="D62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D85" i="2"/>
  <c r="F85" i="2"/>
  <c r="C87" i="2"/>
  <c r="E87" i="2"/>
  <c r="F87" i="2"/>
  <c r="C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3" i="2"/>
  <c r="D115" i="2"/>
  <c r="F115" i="2"/>
  <c r="G115" i="2"/>
  <c r="C122" i="2"/>
  <c r="E122" i="2"/>
  <c r="E124" i="2"/>
  <c r="F128" i="2"/>
  <c r="G128" i="2"/>
  <c r="C130" i="2"/>
  <c r="E130" i="2"/>
  <c r="D134" i="2"/>
  <c r="D144" i="2"/>
  <c r="E134" i="2"/>
  <c r="F134" i="2"/>
  <c r="K419" i="1"/>
  <c r="K427" i="1"/>
  <c r="K433" i="1"/>
  <c r="L263" i="1"/>
  <c r="C135" i="2" s="1"/>
  <c r="E135" i="2"/>
  <c r="E144" i="2" s="1"/>
  <c r="L264" i="1"/>
  <c r="C136" i="2"/>
  <c r="L265" i="1"/>
  <c r="C137" i="2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G159" i="2" s="1"/>
  <c r="E159" i="2"/>
  <c r="F159" i="2"/>
  <c r="B160" i="2"/>
  <c r="C160" i="2"/>
  <c r="G160" i="2" s="1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I503" i="1"/>
  <c r="E164" i="2" s="1"/>
  <c r="J503" i="1"/>
  <c r="F164" i="2" s="1"/>
  <c r="F19" i="1"/>
  <c r="G19" i="1"/>
  <c r="H19" i="1"/>
  <c r="I19" i="1"/>
  <c r="F32" i="1"/>
  <c r="G32" i="1"/>
  <c r="H32" i="1"/>
  <c r="I32" i="1"/>
  <c r="G52" i="1"/>
  <c r="H618" i="1" s="1"/>
  <c r="J618" i="1" s="1"/>
  <c r="H51" i="1"/>
  <c r="I51" i="1"/>
  <c r="I52" i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H211" i="1"/>
  <c r="K211" i="1"/>
  <c r="G229" i="1"/>
  <c r="J229" i="1"/>
  <c r="K229" i="1"/>
  <c r="F247" i="1"/>
  <c r="G247" i="1"/>
  <c r="H247" i="1"/>
  <c r="I247" i="1"/>
  <c r="J247" i="1"/>
  <c r="F256" i="1"/>
  <c r="G256" i="1"/>
  <c r="H256" i="1"/>
  <c r="I256" i="1"/>
  <c r="J256" i="1"/>
  <c r="K256" i="1"/>
  <c r="I290" i="1"/>
  <c r="F309" i="1"/>
  <c r="H309" i="1"/>
  <c r="I309" i="1"/>
  <c r="F328" i="1"/>
  <c r="G328" i="1"/>
  <c r="I328" i="1"/>
  <c r="F337" i="1"/>
  <c r="H337" i="1"/>
  <c r="I337" i="1"/>
  <c r="J337" i="1"/>
  <c r="K337" i="1"/>
  <c r="F362" i="1"/>
  <c r="G362" i="1"/>
  <c r="H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F470" i="1"/>
  <c r="G470" i="1"/>
  <c r="H470" i="1"/>
  <c r="I470" i="1"/>
  <c r="J470" i="1"/>
  <c r="G474" i="1"/>
  <c r="H474" i="1"/>
  <c r="I474" i="1"/>
  <c r="J474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I545" i="1" s="1"/>
  <c r="J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598" i="1"/>
  <c r="H651" i="1" s="1"/>
  <c r="K602" i="1"/>
  <c r="K603" i="1"/>
  <c r="I605" i="1"/>
  <c r="F614" i="1"/>
  <c r="G614" i="1"/>
  <c r="H614" i="1"/>
  <c r="I614" i="1"/>
  <c r="J614" i="1"/>
  <c r="K614" i="1"/>
  <c r="G617" i="1"/>
  <c r="G618" i="1"/>
  <c r="G619" i="1"/>
  <c r="G620" i="1"/>
  <c r="J620" i="1"/>
  <c r="G623" i="1"/>
  <c r="G624" i="1"/>
  <c r="G625" i="1"/>
  <c r="J625" i="1" s="1"/>
  <c r="H627" i="1"/>
  <c r="H628" i="1"/>
  <c r="H629" i="1"/>
  <c r="H630" i="1"/>
  <c r="H631" i="1"/>
  <c r="H633" i="1"/>
  <c r="H635" i="1"/>
  <c r="H636" i="1"/>
  <c r="H637" i="1"/>
  <c r="H638" i="1"/>
  <c r="G639" i="1"/>
  <c r="H639" i="1"/>
  <c r="G640" i="1"/>
  <c r="J640" i="1" s="1"/>
  <c r="H640" i="1"/>
  <c r="G641" i="1"/>
  <c r="J641" i="1" s="1"/>
  <c r="H642" i="1"/>
  <c r="G643" i="1"/>
  <c r="J643" i="1" s="1"/>
  <c r="H643" i="1"/>
  <c r="G644" i="1"/>
  <c r="J644" i="1" s="1"/>
  <c r="H644" i="1"/>
  <c r="H645" i="1"/>
  <c r="H647" i="1"/>
  <c r="G649" i="1"/>
  <c r="G651" i="1"/>
  <c r="G652" i="1"/>
  <c r="H652" i="1"/>
  <c r="J652" i="1" s="1"/>
  <c r="G653" i="1"/>
  <c r="H653" i="1"/>
  <c r="G654" i="1"/>
  <c r="H654" i="1"/>
  <c r="J654" i="1" s="1"/>
  <c r="H655" i="1"/>
  <c r="L256" i="1"/>
  <c r="L351" i="1"/>
  <c r="A31" i="12"/>
  <c r="D18" i="13"/>
  <c r="C18" i="13"/>
  <c r="D18" i="2"/>
  <c r="D17" i="13"/>
  <c r="C17" i="13"/>
  <c r="C91" i="2"/>
  <c r="F78" i="2"/>
  <c r="F81" i="2"/>
  <c r="D50" i="2"/>
  <c r="G157" i="2"/>
  <c r="E63" i="2"/>
  <c r="G62" i="2"/>
  <c r="C19" i="13"/>
  <c r="E78" i="2"/>
  <c r="E81" i="2" s="1"/>
  <c r="H112" i="1"/>
  <c r="J639" i="1"/>
  <c r="J571" i="1"/>
  <c r="L433" i="1"/>
  <c r="I169" i="1"/>
  <c r="J476" i="1"/>
  <c r="H626" i="1"/>
  <c r="H476" i="1"/>
  <c r="H624" i="1" s="1"/>
  <c r="J624" i="1" s="1"/>
  <c r="I476" i="1"/>
  <c r="H625" i="1" s="1"/>
  <c r="G476" i="1"/>
  <c r="H623" i="1"/>
  <c r="F169" i="1"/>
  <c r="J140" i="1"/>
  <c r="G22" i="2"/>
  <c r="H140" i="1"/>
  <c r="L401" i="1"/>
  <c r="L408" i="1" s="1"/>
  <c r="C139" i="2"/>
  <c r="C141" i="2" s="1"/>
  <c r="L393" i="1"/>
  <c r="F22" i="13"/>
  <c r="H25" i="13"/>
  <c r="H571" i="1"/>
  <c r="J545" i="1"/>
  <c r="G192" i="1"/>
  <c r="H192" i="1"/>
  <c r="C35" i="10"/>
  <c r="G36" i="2"/>
  <c r="L565" i="1"/>
  <c r="C22" i="13"/>
  <c r="C138" i="2"/>
  <c r="F62" i="2"/>
  <c r="F63" i="2" s="1"/>
  <c r="F104" i="2" s="1"/>
  <c r="C23" i="10"/>
  <c r="G163" i="2"/>
  <c r="G162" i="2"/>
  <c r="G158" i="2"/>
  <c r="G103" i="2"/>
  <c r="G104" i="2" s="1"/>
  <c r="F103" i="2"/>
  <c r="C103" i="2"/>
  <c r="F91" i="2"/>
  <c r="E50" i="2"/>
  <c r="F31" i="2"/>
  <c r="C31" i="2"/>
  <c r="F50" i="2"/>
  <c r="F51" i="2"/>
  <c r="L407" i="1"/>
  <c r="C140" i="2"/>
  <c r="I192" i="1"/>
  <c r="J653" i="1"/>
  <c r="G21" i="2"/>
  <c r="G31" i="2" s="1"/>
  <c r="L434" i="1"/>
  <c r="G638" i="1"/>
  <c r="J638" i="1" s="1"/>
  <c r="J434" i="1"/>
  <c r="F434" i="1"/>
  <c r="K434" i="1"/>
  <c r="G134" i="2" s="1"/>
  <c r="G144" i="2" s="1"/>
  <c r="G145" i="2" s="1"/>
  <c r="C6" i="10"/>
  <c r="G140" i="1"/>
  <c r="F140" i="1"/>
  <c r="G42" i="2"/>
  <c r="G16" i="2"/>
  <c r="F545" i="1"/>
  <c r="H434" i="1"/>
  <c r="D103" i="2"/>
  <c r="I140" i="1"/>
  <c r="G571" i="1"/>
  <c r="I434" i="1"/>
  <c r="G434" i="1"/>
  <c r="H52" i="1"/>
  <c r="H619" i="1"/>
  <c r="J619" i="1"/>
  <c r="G47" i="2"/>
  <c r="J51" i="1"/>
  <c r="J52" i="1" s="1"/>
  <c r="H621" i="1" s="1"/>
  <c r="D81" i="2"/>
  <c r="G626" i="1"/>
  <c r="J626" i="1" s="1"/>
  <c r="C110" i="2"/>
  <c r="C78" i="2"/>
  <c r="C81" i="2"/>
  <c r="L235" i="1"/>
  <c r="G5" i="13"/>
  <c r="K247" i="1"/>
  <c r="K257" i="1"/>
  <c r="K271" i="1"/>
  <c r="I338" i="1"/>
  <c r="I352" i="1"/>
  <c r="C50" i="2" l="1"/>
  <c r="C51" i="2" s="1"/>
  <c r="J649" i="1"/>
  <c r="H193" i="1"/>
  <c r="G629" i="1" s="1"/>
  <c r="J629" i="1" s="1"/>
  <c r="G646" i="1"/>
  <c r="G631" i="1"/>
  <c r="J631" i="1" s="1"/>
  <c r="H646" i="1"/>
  <c r="G637" i="1"/>
  <c r="J637" i="1" s="1"/>
  <c r="J623" i="1"/>
  <c r="C12" i="10"/>
  <c r="C111" i="2"/>
  <c r="C125" i="2"/>
  <c r="E16" i="13"/>
  <c r="C16" i="13" s="1"/>
  <c r="C17" i="10"/>
  <c r="E8" i="13"/>
  <c r="C120" i="2"/>
  <c r="G162" i="1"/>
  <c r="G169" i="1" s="1"/>
  <c r="D88" i="2"/>
  <c r="D91" i="2" s="1"/>
  <c r="L359" i="1"/>
  <c r="I362" i="1"/>
  <c r="G634" i="1" s="1"/>
  <c r="J634" i="1" s="1"/>
  <c r="J328" i="1"/>
  <c r="L314" i="1"/>
  <c r="L333" i="1"/>
  <c r="G337" i="1"/>
  <c r="L337" i="1" s="1"/>
  <c r="K338" i="1"/>
  <c r="K352" i="1" s="1"/>
  <c r="G31" i="13"/>
  <c r="G33" i="13" s="1"/>
  <c r="H338" i="1"/>
  <c r="H352" i="1" s="1"/>
  <c r="C57" i="2"/>
  <c r="C62" i="2" s="1"/>
  <c r="C63" i="2" s="1"/>
  <c r="C104" i="2" s="1"/>
  <c r="F112" i="1"/>
  <c r="L215" i="1"/>
  <c r="B9" i="12"/>
  <c r="F229" i="1"/>
  <c r="L197" i="1"/>
  <c r="I211" i="1"/>
  <c r="I257" i="1" s="1"/>
  <c r="I271" i="1" s="1"/>
  <c r="F211" i="1"/>
  <c r="B36" i="12"/>
  <c r="A40" i="12" s="1"/>
  <c r="L200" i="1"/>
  <c r="L218" i="1"/>
  <c r="H229" i="1"/>
  <c r="H257" i="1" s="1"/>
  <c r="H271" i="1" s="1"/>
  <c r="F7" i="13"/>
  <c r="J211" i="1"/>
  <c r="J257" i="1" s="1"/>
  <c r="L221" i="1"/>
  <c r="C16" i="10" s="1"/>
  <c r="I229" i="1"/>
  <c r="C20" i="10"/>
  <c r="C123" i="2"/>
  <c r="D14" i="13"/>
  <c r="C14" i="13" s="1"/>
  <c r="C121" i="2"/>
  <c r="C18" i="10"/>
  <c r="L202" i="1"/>
  <c r="G211" i="1"/>
  <c r="G257" i="1" s="1"/>
  <c r="G271" i="1" s="1"/>
  <c r="K495" i="1"/>
  <c r="C156" i="2"/>
  <c r="G156" i="2" s="1"/>
  <c r="L276" i="1"/>
  <c r="C9" i="12"/>
  <c r="G290" i="1"/>
  <c r="L281" i="1"/>
  <c r="E118" i="2" s="1"/>
  <c r="J290" i="1"/>
  <c r="F549" i="1"/>
  <c r="L524" i="1"/>
  <c r="K529" i="1"/>
  <c r="K545" i="1" s="1"/>
  <c r="L528" i="1"/>
  <c r="G551" i="1" s="1"/>
  <c r="L529" i="1"/>
  <c r="G549" i="1"/>
  <c r="H663" i="1"/>
  <c r="I579" i="1"/>
  <c r="F663" i="1"/>
  <c r="H605" i="1"/>
  <c r="B18" i="12"/>
  <c r="A22" i="12" s="1"/>
  <c r="L277" i="1"/>
  <c r="E110" i="2" s="1"/>
  <c r="F290" i="1"/>
  <c r="F338" i="1" s="1"/>
  <c r="F352" i="1" s="1"/>
  <c r="L301" i="1"/>
  <c r="L309" i="1" s="1"/>
  <c r="G309" i="1"/>
  <c r="L543" i="1"/>
  <c r="J551" i="1" s="1"/>
  <c r="H544" i="1"/>
  <c r="H545" i="1" s="1"/>
  <c r="F474" i="1"/>
  <c r="F476" i="1" s="1"/>
  <c r="H622" i="1" s="1"/>
  <c r="H632" i="1"/>
  <c r="D5" i="13"/>
  <c r="K604" i="1"/>
  <c r="K605" i="1" s="1"/>
  <c r="G648" i="1" s="1"/>
  <c r="L571" i="1"/>
  <c r="I549" i="1"/>
  <c r="I552" i="1" s="1"/>
  <c r="L539" i="1"/>
  <c r="G663" i="1"/>
  <c r="L614" i="1"/>
  <c r="D164" i="2"/>
  <c r="G164" i="2" s="1"/>
  <c r="K503" i="1"/>
  <c r="I193" i="1"/>
  <c r="G630" i="1" s="1"/>
  <c r="J630" i="1" s="1"/>
  <c r="G50" i="2"/>
  <c r="G51" i="2" s="1"/>
  <c r="C38" i="10"/>
  <c r="G193" i="1"/>
  <c r="G628" i="1" s="1"/>
  <c r="J628" i="1" s="1"/>
  <c r="H33" i="13"/>
  <c r="C25" i="13"/>
  <c r="F52" i="1"/>
  <c r="H617" i="1" s="1"/>
  <c r="J617" i="1" s="1"/>
  <c r="G622" i="1"/>
  <c r="J622" i="1" s="1"/>
  <c r="E88" i="2"/>
  <c r="E91" i="2" s="1"/>
  <c r="E104" i="2" s="1"/>
  <c r="H162" i="1"/>
  <c r="H169" i="1" s="1"/>
  <c r="H328" i="1"/>
  <c r="L320" i="1"/>
  <c r="E119" i="2" s="1"/>
  <c r="D12" i="13"/>
  <c r="C12" i="13" s="1"/>
  <c r="K598" i="1"/>
  <c r="G647" i="1" s="1"/>
  <c r="J647" i="1" s="1"/>
  <c r="D104" i="2"/>
  <c r="J12" i="1"/>
  <c r="I446" i="1"/>
  <c r="G642" i="1" s="1"/>
  <c r="J642" i="1" s="1"/>
  <c r="F571" i="1"/>
  <c r="D31" i="2"/>
  <c r="D51" i="2" s="1"/>
  <c r="J651" i="1"/>
  <c r="G645" i="1"/>
  <c r="J645" i="1" s="1"/>
  <c r="E103" i="2"/>
  <c r="H550" i="1"/>
  <c r="H552" i="1" s="1"/>
  <c r="L534" i="1"/>
  <c r="E31" i="2"/>
  <c r="E51" i="2" s="1"/>
  <c r="J550" i="1"/>
  <c r="F130" i="2"/>
  <c r="F144" i="2" s="1"/>
  <c r="F145" i="2" s="1"/>
  <c r="L382" i="1"/>
  <c r="G636" i="1" s="1"/>
  <c r="J636" i="1" s="1"/>
  <c r="C142" i="2"/>
  <c r="C26" i="10"/>
  <c r="C29" i="10"/>
  <c r="C32" i="10"/>
  <c r="C131" i="2"/>
  <c r="C144" i="2" s="1"/>
  <c r="G662" i="1"/>
  <c r="I662" i="1" s="1"/>
  <c r="C21" i="10"/>
  <c r="C124" i="2"/>
  <c r="G650" i="1"/>
  <c r="J650" i="1" s="1"/>
  <c r="D15" i="13"/>
  <c r="C15" i="13" s="1"/>
  <c r="C5" i="13" l="1"/>
  <c r="K549" i="1"/>
  <c r="K552" i="1" s="1"/>
  <c r="F552" i="1"/>
  <c r="J19" i="1"/>
  <c r="G621" i="1" s="1"/>
  <c r="G11" i="2"/>
  <c r="G18" i="2" s="1"/>
  <c r="J338" i="1"/>
  <c r="J352" i="1" s="1"/>
  <c r="F31" i="13"/>
  <c r="C15" i="10"/>
  <c r="C118" i="2"/>
  <c r="C128" i="2" s="1"/>
  <c r="D6" i="13"/>
  <c r="C6" i="13" s="1"/>
  <c r="A13" i="12"/>
  <c r="E114" i="2"/>
  <c r="C24" i="10"/>
  <c r="C8" i="13"/>
  <c r="E33" i="13"/>
  <c r="D35" i="13" s="1"/>
  <c r="J552" i="1"/>
  <c r="K550" i="1"/>
  <c r="E128" i="2"/>
  <c r="L544" i="1"/>
  <c r="I663" i="1"/>
  <c r="G552" i="1"/>
  <c r="L545" i="1"/>
  <c r="G338" i="1"/>
  <c r="G352" i="1" s="1"/>
  <c r="D7" i="13"/>
  <c r="C7" i="13" s="1"/>
  <c r="C13" i="10"/>
  <c r="C112" i="2"/>
  <c r="L211" i="1"/>
  <c r="C109" i="2"/>
  <c r="C115" i="2" s="1"/>
  <c r="C145" i="2" s="1"/>
  <c r="C10" i="10"/>
  <c r="F193" i="1"/>
  <c r="G627" i="1" s="1"/>
  <c r="J627" i="1" s="1"/>
  <c r="C36" i="10"/>
  <c r="C39" i="10"/>
  <c r="J646" i="1"/>
  <c r="C119" i="2"/>
  <c r="K551" i="1"/>
  <c r="L290" i="1"/>
  <c r="E109" i="2"/>
  <c r="E115" i="2" s="1"/>
  <c r="J271" i="1"/>
  <c r="F257" i="1"/>
  <c r="F271" i="1" s="1"/>
  <c r="F661" i="1"/>
  <c r="D127" i="2"/>
  <c r="D128" i="2" s="1"/>
  <c r="D145" i="2" s="1"/>
  <c r="D29" i="13"/>
  <c r="C29" i="13" s="1"/>
  <c r="L362" i="1"/>
  <c r="H661" i="1"/>
  <c r="G661" i="1"/>
  <c r="F33" i="13"/>
  <c r="L229" i="1"/>
  <c r="G660" i="1" s="1"/>
  <c r="L328" i="1"/>
  <c r="H660" i="1" s="1"/>
  <c r="C11" i="10"/>
  <c r="I661" i="1" l="1"/>
  <c r="E145" i="2"/>
  <c r="H664" i="1"/>
  <c r="C27" i="10"/>
  <c r="G635" i="1"/>
  <c r="J635" i="1" s="1"/>
  <c r="G664" i="1"/>
  <c r="H648" i="1"/>
  <c r="J648" i="1" s="1"/>
  <c r="L338" i="1"/>
  <c r="L352" i="1" s="1"/>
  <c r="G633" i="1" s="1"/>
  <c r="J633" i="1" s="1"/>
  <c r="D31" i="13"/>
  <c r="C31" i="13" s="1"/>
  <c r="C41" i="10"/>
  <c r="L257" i="1"/>
  <c r="L271" i="1" s="1"/>
  <c r="G632" i="1" s="1"/>
  <c r="J632" i="1" s="1"/>
  <c r="F660" i="1"/>
  <c r="J621" i="1"/>
  <c r="D33" i="13"/>
  <c r="D36" i="13" s="1"/>
  <c r="I660" i="1" l="1"/>
  <c r="I664" i="1" s="1"/>
  <c r="F664" i="1"/>
  <c r="H656" i="1"/>
  <c r="G667" i="1"/>
  <c r="G672" i="1"/>
  <c r="C5" i="10" s="1"/>
  <c r="D40" i="10"/>
  <c r="D37" i="10"/>
  <c r="D35" i="10"/>
  <c r="D38" i="10"/>
  <c r="H672" i="1"/>
  <c r="H667" i="1"/>
  <c r="C28" i="10"/>
  <c r="D27" i="10" s="1"/>
  <c r="D36" i="10"/>
  <c r="D39" i="10"/>
  <c r="D41" i="10" l="1"/>
  <c r="F672" i="1"/>
  <c r="C4" i="10" s="1"/>
  <c r="F667" i="1"/>
  <c r="D25" i="10"/>
  <c r="D19" i="10"/>
  <c r="D22" i="10"/>
  <c r="C30" i="10"/>
  <c r="D23" i="10"/>
  <c r="D18" i="10"/>
  <c r="D16" i="10"/>
  <c r="D26" i="10"/>
  <c r="D21" i="10"/>
  <c r="D20" i="10"/>
  <c r="D17" i="10"/>
  <c r="D12" i="10"/>
  <c r="D10" i="10"/>
  <c r="D24" i="10"/>
  <c r="D11" i="10"/>
  <c r="D13" i="10"/>
  <c r="D15" i="10"/>
  <c r="I667" i="1"/>
  <c r="I672" i="1"/>
  <c r="C7" i="10" s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<sst xmlns="http://schemas.openxmlformats.org/spreadsheetml/2006/main" count="3965" uniqueCount="921">
  <si>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</si>
  <si>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</si>
  <si>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</si>
  <si>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</si>
  <si>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</si>
  <si>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</si>
  <si>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</si>
  <si>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</si>
  <si>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</si>
  <si>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</si>
  <si>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</si>
  <si>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</si>
  <si>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</si>
  <si>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</si>
  <si>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</si>
  <si>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</si>
  <si>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</si>
  <si>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</si>
  <si>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</si>
  <si>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</si>
  <si>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</si>
  <si>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</si>
  <si>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</si>
  <si>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</si>
  <si>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</si>
  <si>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</si>
  <si>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</si>
  <si>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</si>
  <si>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</si>
  <si>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</si>
  <si>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</si>
  <si>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</si>
  <si>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</si>
  <si>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</si>
  <si>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</si>
  <si>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</si>
  <si>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</si>
  <si>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</si>
  <si>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</si>
  <si>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</si>
  <si>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</si>
  <si>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</si>
  <si>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</si>
  <si>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</si>
  <si>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</si>
  <si>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</si>
  <si>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</si>
  <si>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</si>
  <si>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</si>
  <si>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</si>
  <si>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</si>
  <si>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</si>
  <si>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</si>
  <si>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</si>
  <si>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</si>
  <si>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</si>
  <si>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</si>
  <si>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</si>
  <si>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</si>
  <si>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</si>
  <si>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</si>
  <si>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</si>
  <si>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</si>
  <si>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</si>
  <si>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</si>
  <si>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</si>
  <si>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</si>
  <si>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</si>
  <si>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</si>
  <si>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</si>
  <si>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</si>
  <si>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</si>
  <si>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</si>
  <si>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</si>
  <si>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</si>
  <si>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</si>
  <si>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</si>
  <si>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</si>
  <si>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</si>
  <si>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</si>
  <si>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</si>
  <si>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</si>
  <si>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</si>
  <si>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</si>
  <si>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</si>
  <si>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</si>
  <si>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</si>
  <si>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</si>
  <si>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</si>
  <si>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</si>
  <si>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</si>
  <si>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</si>
  <si>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</si>
  <si>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</si>
  <si>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</si>
  <si>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</si>
  <si>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</si>
  <si>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</si>
  <si>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</si>
  <si>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</si>
  <si>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</si>
  <si>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</si>
  <si>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</si>
  <si>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</si>
  <si>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</si>
  <si>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</si>
  <si>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</si>
  <si>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</si>
  <si>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</si>
  <si>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</si>
  <si>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</si>
  <si>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</si>
  <si>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</si>
  <si>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</si>
  <si>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</si>
  <si>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</si>
  <si>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</si>
  <si>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</si>
  <si>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</si>
  <si>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</si>
  <si>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</si>
  <si>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</si>
  <si>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</si>
  <si>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</si>
  <si>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</si>
  <si>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</si>
  <si>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</si>
  <si>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</si>
  <si>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</si>
  <si>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</si>
  <si>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</si>
  <si>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</si>
  <si>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</si>
  <si>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</si>
  <si>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</si>
  <si>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</si>
  <si>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</si>
  <si>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</si>
  <si>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</si>
  <si>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</si>
  <si>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</si>
  <si>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</si>
  <si>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</si>
  <si>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</si>
  <si>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</si>
  <si>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</si>
  <si>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</si>
  <si>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</si>
  <si>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</si>
  <si>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</si>
  <si>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</si>
  <si>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</si>
  <si>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</si>
  <si>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</si>
  <si>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</si>
  <si>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</si>
  <si>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</si>
  <si>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</si>
  <si>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</si>
  <si>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</si>
  <si>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</si>
  <si>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</si>
  <si>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</si>
  <si>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</si>
  <si>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</si>
  <si>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</si>
  <si>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</si>
  <si>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</si>
  <si>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</si>
  <si>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</si>
  <si>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</si>
  <si>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</si>
  <si>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</si>
  <si>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</si>
  <si>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</si>
  <si>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</si>
  <si>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</si>
  <si>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</si>
  <si>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</si>
  <si>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</si>
  <si>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</si>
  <si>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</si>
  <si>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</si>
  <si>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</si>
  <si>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</si>
  <si>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</si>
  <si>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</si>
  <si>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</si>
  <si>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</si>
  <si>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</si>
  <si>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</si>
  <si>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</si>
  <si>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</si>
  <si>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</si>
  <si>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</si>
  <si>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</si>
  <si>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</si>
  <si>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</si>
  <si>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</si>
  <si>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</si>
  <si>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</si>
  <si>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</si>
  <si>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</si>
  <si>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</si>
  <si>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</si>
  <si>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</si>
  <si>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</si>
  <si>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</si>
  <si>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</si>
  <si>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</si>
  <si>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</si>
  <si>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</si>
  <si>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</si>
  <si>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</si>
  <si>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</si>
  <si>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</si>
  <si>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</si>
  <si>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</si>
  <si>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</si>
  <si>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</si>
  <si>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</si>
  <si>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</si>
  <si>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</si>
  <si>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</si>
  <si>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</si>
  <si>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</si>
  <si>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</si>
  <si>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</si>
  <si>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</si>
  <si>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</si>
  <si>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</si>
  <si>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</si>
  <si>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</si>
  <si>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</si>
  <si>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</si>
  <si>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</si>
  <si>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</si>
  <si>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</si>
  <si>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</si>
  <si>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</si>
  <si>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</si>
  <si>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</si>
  <si>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</si>
  <si>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</si>
  <si>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</si>
  <si>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</si>
  <si>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</si>
  <si>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</si>
  <si>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</si>
  <si>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</si>
  <si>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</si>
  <si>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</si>
  <si>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</si>
  <si>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</si>
  <si>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</si>
  <si>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</si>
  <si>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</si>
  <si>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</si>
  <si>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</si>
  <si>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</si>
  <si>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</si>
  <si>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</si>
  <si>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</si>
  <si>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</si>
  <si>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</si>
  <si>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</si>
  <si>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</si>
  <si>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</si>
  <si>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</si>
  <si>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</si>
  <si>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</si>
  <si>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</si>
  <si>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</si>
  <si>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</si>
  <si>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</si>
  <si>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</si>
  <si>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</si>
  <si>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</si>
  <si>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</si>
  <si>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</si>
  <si>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</si>
  <si>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</si>
  <si>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</si>
  <si>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</si>
  <si>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</si>
  <si>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</si>
  <si>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</si>
  <si>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</si>
  <si>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</si>
  <si>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</si>
  <si>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</si>
  <si>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</si>
  <si>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</si>
  <si>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</si>
  <si>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</si>
  <si>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</si>
  <si>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</si>
  <si>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</si>
  <si>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</si>
  <si>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</si>
  <si>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</si>
  <si>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</si>
  <si>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</si>
  <si>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</si>
  <si>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</si>
  <si>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</si>
  <si>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</si>
  <si>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</si>
  <si>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</si>
  <si>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</si>
  <si>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</si>
  <si>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</si>
  <si>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</si>
  <si>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</si>
  <si>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</si>
  <si>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</si>
  <si>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</si>
  <si>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</si>
  <si>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</si>
  <si>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</si>
  <si>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</si>
  <si>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</si>
  <si>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</si>
  <si>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</si>
  <si>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</si>
  <si>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</si>
  <si>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</si>
  <si>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</si>
  <si>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</si>
  <si>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</si>
  <si>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</si>
  <si>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</si>
  <si>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</si>
  <si>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</si>
  <si>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</si>
  <si>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</si>
  <si>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</si>
  <si>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</si>
  <si>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</si>
  <si>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</si>
  <si>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</si>
  <si>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</si>
  <si>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</si>
  <si>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</si>
  <si>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</si>
  <si>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</si>
  <si>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</si>
  <si>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</si>
  <si>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</si>
  <si>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</si>
  <si>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</si>
  <si>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</si>
  <si>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</si>
  <si>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</si>
  <si>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</si>
  <si>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</si>
  <si>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</si>
  <si>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</si>
  <si>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</si>
  <si>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</si>
  <si>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</si>
  <si>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</si>
  <si>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</si>
  <si>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</si>
  <si>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</si>
  <si>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</si>
  <si>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</si>
  <si>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</si>
  <si>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</si>
  <si>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</si>
  <si>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</si>
  <si>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</si>
  <si>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</si>
  <si>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</si>
  <si>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</si>
  <si>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</si>
  <si>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</si>
  <si>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</si>
  <si>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</si>
  <si>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</si>
  <si>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</si>
  <si>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</si>
  <si>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</si>
  <si>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</si>
  <si>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</si>
  <si>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</si>
  <si>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</si>
  <si>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</si>
  <si>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</si>
  <si>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</si>
  <si>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</si>
  <si>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</si>
  <si>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</si>
  <si>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</si>
  <si>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</si>
  <si>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</si>
  <si>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</si>
  <si>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</si>
  <si>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</si>
  <si>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</si>
  <si>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</si>
  <si>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</si>
  <si>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</si>
  <si>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</si>
  <si>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</si>
  <si>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</si>
  <si>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</si>
  <si>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</si>
  <si>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</si>
  <si>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</si>
  <si>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</si>
  <si>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</si>
  <si>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</si>
  <si>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</si>
  <si>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</si>
  <si>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</si>
  <si>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</si>
  <si>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</si>
  <si>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</si>
  <si>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</si>
  <si>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</si>
  <si>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</si>
  <si>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</si>
  <si>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</si>
  <si>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</si>
  <si>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</si>
  <si>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</si>
  <si>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</si>
  <si>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</si>
  <si>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</si>
  <si>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</si>
  <si>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</si>
  <si>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</si>
  <si>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</si>
  <si>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</si>
  <si>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</si>
  <si>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</si>
  <si>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</si>
  <si>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</si>
  <si>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</si>
  <si>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</si>
  <si>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</si>
  <si>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</si>
  <si>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</si>
  <si>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</si>
  <si>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</si>
  <si>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</si>
  <si>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</si>
  <si>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</si>
  <si>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</si>
  <si>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</si>
  <si>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</si>
  <si>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</si>
  <si>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</si>
  <si>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</si>
  <si>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</si>
  <si>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</si>
  <si>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</si>
  <si>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</si>
  <si>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</si>
  <si>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</si>
  <si>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</si>
  <si>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</si>
  <si>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</si>
  <si>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</si>
  <si>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</si>
  <si>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</si>
  <si>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</si>
  <si>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</si>
  <si>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</si>
  <si>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</si>
  <si>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</si>
  <si>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</si>
  <si>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</si>
  <si>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</si>
  <si>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</si>
  <si>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</si>
  <si>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</si>
  <si>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</si>
  <si>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</si>
  <si>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</si>
  <si>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</si>
  <si>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</si>
  <si>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</si>
  <si>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</si>
  <si>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</si>
  <si>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</si>
  <si>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</si>
  <si>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</si>
  <si>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</si>
  <si>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</si>
  <si>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</si>
  <si>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</si>
  <si>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</si>
  <si>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</si>
  <si>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</si>
  <si>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</si>
  <si>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</si>
  <si>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</si>
  <si>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</si>
  <si>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</si>
  <si>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</si>
  <si>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</si>
  <si>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</si>
  <si>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</si>
  <si>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</si>
  <si>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</si>
  <si>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</si>
  <si>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</si>
  <si>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</si>
  <si>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</si>
  <si>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</si>
  <si>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</si>
  <si>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</si>
  <si>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</si>
  <si>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</si>
  <si>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</si>
  <si>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</si>
  <si>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</si>
  <si>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</si>
  <si>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</si>
  <si>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</si>
  <si>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</si>
  <si>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</si>
  <si>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</si>
  <si>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</si>
  <si>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</si>
  <si>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</si>
  <si>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</si>
  <si>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</si>
  <si>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</si>
  <si>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</si>
  <si>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</si>
  <si>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</si>
  <si>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</si>
  <si>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</si>
  <si>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</si>
  <si>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</si>
  <si>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</si>
  <si>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</si>
  <si>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</si>
  <si>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</si>
  <si>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</si>
  <si>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</si>
  <si>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</si>
  <si>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</si>
  <si>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</si>
  <si>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</si>
  <si>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</si>
  <si>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</si>
  <si>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</si>
  <si>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</si>
  <si>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</si>
  <si>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</si>
  <si>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</si>
  <si>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</si>
  <si>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</si>
  <si>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</si>
  <si>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</si>
  <si>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</si>
  <si>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</si>
  <si>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</si>
  <si>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</si>
  <si>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</si>
  <si>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</si>
  <si>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</si>
  <si>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</si>
  <si>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</si>
  <si>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</si>
  <si>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</si>
  <si>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</si>
  <si>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</si>
  <si>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</si>
  <si>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</si>
  <si>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</si>
  <si>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</si>
  <si>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</si>
  <si>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</si>
  <si>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</si>
  <si>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</si>
  <si>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</si>
  <si>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</si>
  <si>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</si>
  <si>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</si>
  <si>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</si>
  <si>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</si>
  <si>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</si>
  <si>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</si>
  <si>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</si>
  <si>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</si>
  <si>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</si>
  <si>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</si>
  <si>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</si>
  <si>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</si>
  <si>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</si>
  <si>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</si>
  <si>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</si>
  <si>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</si>
  <si>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</si>
  <si>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</si>
  <si>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</si>
  <si>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</si>
  <si>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</si>
  <si>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</si>
  <si>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</si>
  <si>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</si>
  <si>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</si>
  <si>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</si>
  <si>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</si>
  <si>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</si>
  <si>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</si>
  <si>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</si>
  <si>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</si>
  <si>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</si>
  <si>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</si>
  <si>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</si>
  <si>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</si>
  <si>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</si>
  <si>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</si>
  <si>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</si>
  <si>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</si>
  <si>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</si>
  <si>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</si>
  <si>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</si>
  <si>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</si>
  <si>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</si>
  <si>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</si>
  <si>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</si>
  <si>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</si>
  <si>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</si>
  <si>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</si>
  <si>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</si>
  <si>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</si>
  <si>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</si>
  <si>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</si>
  <si>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</si>
  <si>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</si>
  <si>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</si>
  <si>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</si>
  <si>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</si>
  <si>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</si>
  <si>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</si>
  <si>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</si>
  <si>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</si>
  <si>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</si>
  <si>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</si>
  <si>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</si>
  <si>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</si>
  <si>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</si>
  <si>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</si>
  <si>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</si>
  <si>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</si>
  <si>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</si>
  <si>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</si>
  <si>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</si>
  <si>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</si>
  <si>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</si>
  <si>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</si>
  <si>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</si>
  <si>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</si>
  <si>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</si>
  <si>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</si>
  <si>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</si>
  <si>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</si>
  <si>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</si>
  <si>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</si>
  <si>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</si>
  <si>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</si>
  <si>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</si>
  <si>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</si>
  <si>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</si>
  <si>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</si>
  <si>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</si>
  <si>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</si>
  <si>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</si>
  <si>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</si>
  <si>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</si>
  <si>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</si>
  <si>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</si>
  <si>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</si>
  <si>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</si>
  <si>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</si>
  <si>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</si>
  <si>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</si>
  <si>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</si>
  <si>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</si>
  <si>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</si>
  <si>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</si>
  <si>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</si>
  <si>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</si>
  <si>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</si>
  <si>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</si>
  <si>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</si>
  <si>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</si>
  <si>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</si>
  <si>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</si>
  <si>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</si>
  <si>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</si>
  <si>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</si>
  <si>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</si>
  <si>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</si>
  <si>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</si>
  <si>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</si>
  <si>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</si>
  <si>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</si>
  <si>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</si>
  <si>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</si>
  <si>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</si>
  <si>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</si>
  <si>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</si>
  <si>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</si>
  <si>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</si>
  <si>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</si>
  <si>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</si>
  <si>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</si>
  <si>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</si>
  <si>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</si>
  <si>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</si>
  <si>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</si>
  <si>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</si>
  <si>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</si>
  <si>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</si>
  <si>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</si>
  <si>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</si>
  <si>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</si>
  <si>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</si>
  <si>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</si>
  <si>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</si>
  <si>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</si>
  <si>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</si>
  <si>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</si>
  <si>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</si>
  <si>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</si>
  <si>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</si>
  <si>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</si>
  <si>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</si>
  <si>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</si>
  <si>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</si>
  <si>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</si>
  <si>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</si>
  <si>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</si>
  <si>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</si>
  <si>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</si>
  <si>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</si>
  <si>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</si>
  <si>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</si>
  <si>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</si>
  <si>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</si>
  <si>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</si>
  <si>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</si>
  <si>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</si>
  <si>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</si>
  <si>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</si>
  <si>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</si>
  <si>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</si>
  <si>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</si>
  <si>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</si>
  <si>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</si>
  <si>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</si>
  <si>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</si>
  <si>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</si>
  <si>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</si>
  <si>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</si>
  <si>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</si>
  <si>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</si>
  <si>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</si>
  <si>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</si>
  <si>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</si>
  <si>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</si>
  <si>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</si>
  <si>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</si>
  <si>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</si>
  <si>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</si>
  <si>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</si>
  <si>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</si>
  <si>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</si>
  <si>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</si>
  <si>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</si>
  <si>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</si>
  <si>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</si>
  <si>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</si>
  <si>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</si>
  <si>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</si>
  <si>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</si>
  <si>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</si>
  <si>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</si>
  <si>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</si>
  <si>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</si>
  <si>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</si>
  <si>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</si>
  <si>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</si>
  <si>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</si>
  <si>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</si>
  <si>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</si>
  <si>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</si>
  <si>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</si>
  <si>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</si>
  <si>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</si>
  <si>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</si>
  <si>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</si>
  <si>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</si>
  <si>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</si>
  <si>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</si>
  <si>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</si>
  <si>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</si>
  <si>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</si>
  <si>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</si>
  <si>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</si>
  <si>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</si>
  <si>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</si>
  <si>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</si>
  <si>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</si>
  <si>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</si>
  <si>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</si>
  <si>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</si>
  <si>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</si>
  <si>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</si>
  <si>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</si>
  <si>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</si>
  <si>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</si>
  <si>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</si>
  <si>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</si>
  <si>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</si>
  <si>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</si>
  <si>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</si>
  <si>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</si>
  <si>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</si>
  <si>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</si>
  <si>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</si>
  <si>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</si>
  <si>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</si>
  <si>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</si>
  <si>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</si>
  <si>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</si>
  <si>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</si>
  <si>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</si>
  <si>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</si>
  <si>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</si>
  <si>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</si>
  <si>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</si>
  <si>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</si>
  <si>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</si>
  <si>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</si>
  <si>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</si>
  <si>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</si>
  <si>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</si>
  <si>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</si>
  <si>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</si>
  <si>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</si>
  <si>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</si>
  <si>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</si>
  <si>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</si>
  <si>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</si>
  <si>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</si>
  <si>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</si>
  <si>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</si>
  <si>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</si>
  <si>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</si>
  <si>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</si>
  <si>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</si>
  <si>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</si>
  <si>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</si>
  <si>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</si>
  <si>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</si>
  <si>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</si>
  <si>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</si>
  <si>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</si>
  <si>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</si>
  <si>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</si>
  <si>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</si>
  <si>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</si>
  <si>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</si>
  <si>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</si>
  <si>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</si>
  <si>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</si>
  <si>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</si>
  <si>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</si>
  <si>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</si>
  <si>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</si>
  <si>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</si>
  <si>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</si>
  <si>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</si>
  <si>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</si>
  <si>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</si>
  <si>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</si>
  <si>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</si>
  <si>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</si>
  <si>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</si>
  <si>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</si>
  <si>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</si>
  <si>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</si>
  <si>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</si>
  <si>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</si>
  <si>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</si>
  <si>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</si>
  <si>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</si>
  <si>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</si>
  <si>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</si>
  <si>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</si>
  <si>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</si>
  <si>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</si>
  <si>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</si>
  <si>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</si>
  <si>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</si>
  <si>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</si>
  <si>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</si>
  <si>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</si>
  <si>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</si>
  <si>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</si>
  <si>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</si>
  <si>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</si>
  <si>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Derry Cooperative School District</t>
  </si>
  <si>
    <t>02/94</t>
  </si>
  <si>
    <t>07/03</t>
  </si>
  <si>
    <t>01/11</t>
  </si>
  <si>
    <t>06/14</t>
  </si>
  <si>
    <t>07/23</t>
  </si>
  <si>
    <t>07/19</t>
  </si>
  <si>
    <t>$336702.52 included in Other Revenue that is for Health Trust Refunds</t>
  </si>
  <si>
    <t>$81374.13 included here for amounts reimbursed to current and former employees for the Health Trust Refunds.</t>
  </si>
  <si>
    <t xml:space="preserve">   in Col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</si>
</sst>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5" zoomScaleNormal="115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131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5948064.2199999997</v>
      </c>
      <c r="G9" s="18">
        <v>925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176440.16</v>
      </c>
      <c r="G12" s="18">
        <v>173854.06</v>
      </c>
      <c r="H12" s="18"/>
      <c r="I12" s="18"/>
      <c r="J12" s="67">
        <f>SUM(I441)</f>
        <v>182813.7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82406.63</v>
      </c>
      <c r="G13" s="18">
        <v>106500.07</v>
      </c>
      <c r="H13" s="18">
        <v>347569.32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37411.230000000003</v>
      </c>
      <c r="G14" s="18">
        <v>1575.72</v>
      </c>
      <c r="H14" s="18">
        <v>32259.72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26036.13</v>
      </c>
      <c r="G16" s="18">
        <f>11693.78+49596.71</f>
        <v>61290.49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6270358.3700000001</v>
      </c>
      <c r="G19" s="41">
        <f>SUM(G9:G18)</f>
        <v>344145.33999999997</v>
      </c>
      <c r="H19" s="41">
        <f>SUM(H9:H18)</f>
        <v>379829.04000000004</v>
      </c>
      <c r="I19" s="41">
        <f>SUM(I9:I18)</f>
        <v>0</v>
      </c>
      <c r="J19" s="41">
        <f>SUM(J9:J18)</f>
        <v>182813.7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f>23817.81+326476.41</f>
        <v>350294.22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616081.96+5130</f>
        <v>621211.96</v>
      </c>
      <c r="G24" s="18">
        <v>603.08000000000004</v>
      </c>
      <c r="H24" s="18">
        <v>21092.91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765864.48</v>
      </c>
      <c r="G28" s="18">
        <v>4713.16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48605</v>
      </c>
      <c r="G30" s="18">
        <v>27723.439999999999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1435681.44</v>
      </c>
      <c r="G32" s="41">
        <f>SUM(G22:G31)</f>
        <v>33039.68</v>
      </c>
      <c r="H32" s="41">
        <f>SUM(H22:H31)</f>
        <v>371387.12999999995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26036.13</v>
      </c>
      <c r="G35" s="18">
        <v>61290.49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249815.17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8441.91</v>
      </c>
      <c r="I48" s="18"/>
      <c r="J48" s="13">
        <f>SUM(I459)</f>
        <v>182813.7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271916.5+277575</f>
        <v>549491.5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4448064.7+93789.6-5130-277575</f>
        <v>4259149.3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4834676.93</v>
      </c>
      <c r="G51" s="41">
        <f>SUM(G35:G50)</f>
        <v>311105.66000000003</v>
      </c>
      <c r="H51" s="41">
        <f>SUM(H35:H50)</f>
        <v>8441.91</v>
      </c>
      <c r="I51" s="41">
        <f>SUM(I35:I50)</f>
        <v>0</v>
      </c>
      <c r="J51" s="41">
        <f>SUM(J35:J50)</f>
        <v>182813.7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6270358.3699999992</v>
      </c>
      <c r="G52" s="41">
        <f>G51+G32</f>
        <v>344145.34</v>
      </c>
      <c r="H52" s="41">
        <f>H51+H32</f>
        <v>379829.03999999992</v>
      </c>
      <c r="I52" s="41">
        <f>I51+I32</f>
        <v>0</v>
      </c>
      <c r="J52" s="41">
        <f>J51+J32</f>
        <v>182813.7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40727970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40727970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413627.5+34602.5</f>
        <v>448230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11500.5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f>78049.23+6901.74</f>
        <v>84950.97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890.88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545572.35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1021.87</v>
      </c>
      <c r="G96" s="18"/>
      <c r="H96" s="18"/>
      <c r="I96" s="18"/>
      <c r="J96" s="18">
        <v>316.62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746074.87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96480.25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222835.53+352579.76</f>
        <v>575415.29</v>
      </c>
      <c r="G110" s="18"/>
      <c r="H110" s="18">
        <v>44516.160000000003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672917.41</v>
      </c>
      <c r="G111" s="41">
        <f>SUM(G96:G110)</f>
        <v>746074.87</v>
      </c>
      <c r="H111" s="41">
        <f>SUM(H96:H110)</f>
        <v>44516.160000000003</v>
      </c>
      <c r="I111" s="41">
        <f>SUM(I96:I110)</f>
        <v>0</v>
      </c>
      <c r="J111" s="41">
        <f>SUM(J96:J110)</f>
        <v>316.62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41946459.759999998</v>
      </c>
      <c r="G112" s="41">
        <f>G60+G111</f>
        <v>746074.87</v>
      </c>
      <c r="H112" s="41">
        <f>H60+H79+H94+H111</f>
        <v>44516.160000000003</v>
      </c>
      <c r="I112" s="41">
        <f>I60+I111</f>
        <v>0</v>
      </c>
      <c r="J112" s="41">
        <f>J60+J111</f>
        <v>316.62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25680049.760000002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6077304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>
        <v>0</v>
      </c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31757353.760000002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734659.08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796562.76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19994.259999999998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1531221.8399999999</v>
      </c>
      <c r="G136" s="41">
        <f>SUM(G123:G135)</f>
        <v>19994.259999999998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33288575.600000001</v>
      </c>
      <c r="G140" s="41">
        <f>G121+SUM(G136:G137)</f>
        <v>19994.259999999998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88766.97+9722.77+610763.82+31317.4+54679.83</f>
        <v>795250.78999999992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190176.94+25855.6+1329537.17+23350+103.43+7554.01+25083.97+12405.45+9959.95+228497.73+7125</f>
        <v>1859649.2499999998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73024.71+3.6</f>
        <v>73028.310000000012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460873.93+91681.08+2678.47+67747.41</f>
        <v>622980.89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535059.88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535059.88</v>
      </c>
      <c r="G162" s="41">
        <f>SUM(G150:G161)</f>
        <v>622980.89</v>
      </c>
      <c r="H162" s="41">
        <f>SUM(H150:H161)</f>
        <v>2727928.3499999996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535059.88</v>
      </c>
      <c r="G169" s="41">
        <f>G147+G162+SUM(G163:G168)</f>
        <v>622980.89</v>
      </c>
      <c r="H169" s="41">
        <f>H147+H162+SUM(H163:H168)</f>
        <v>2727928.3499999996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75770095.239999995</v>
      </c>
      <c r="G193" s="47">
        <f>G112+G140+G169+G192</f>
        <v>1389050.02</v>
      </c>
      <c r="H193" s="47">
        <f>H112+H140+H169+H192</f>
        <v>2772444.51</v>
      </c>
      <c r="I193" s="47">
        <f>I112+I140+I169+I192</f>
        <v>0</v>
      </c>
      <c r="J193" s="47">
        <f>J112+J140+J192</f>
        <v>316.62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7873108.2+201036.12</f>
        <v>8074144.3200000003</v>
      </c>
      <c r="G197" s="18">
        <f>4079847.97+142300+134627.97</f>
        <v>4356775.9400000004</v>
      </c>
      <c r="H197" s="18">
        <f>220+538</f>
        <v>758</v>
      </c>
      <c r="I197" s="18">
        <f>67295.24+14946.37+15616.29</f>
        <v>97857.9</v>
      </c>
      <c r="J197" s="18">
        <v>6884.87</v>
      </c>
      <c r="K197" s="18"/>
      <c r="L197" s="19">
        <f>SUM(F197:K197)</f>
        <v>12536421.030000001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3524958.76+31827.92</f>
        <v>3556786.6799999997</v>
      </c>
      <c r="G198" s="18">
        <v>1606186.31</v>
      </c>
      <c r="H198" s="18">
        <f>3315.38+963.3+915650.78</f>
        <v>919929.46000000008</v>
      </c>
      <c r="I198" s="18">
        <f>3341.87+1656.78</f>
        <v>4998.6499999999996</v>
      </c>
      <c r="J198" s="18">
        <v>3819.56</v>
      </c>
      <c r="K198" s="18">
        <v>2272.41</v>
      </c>
      <c r="L198" s="19">
        <f>SUM(F198:K198)</f>
        <v>6093993.0700000003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17521.99+36451.43</f>
        <v>53973.42</v>
      </c>
      <c r="G200" s="18">
        <f>6020.93+3698.65</f>
        <v>9719.58</v>
      </c>
      <c r="H200" s="18"/>
      <c r="I200" s="18">
        <v>958.01</v>
      </c>
      <c r="J200" s="18"/>
      <c r="K200" s="18"/>
      <c r="L200" s="19">
        <f>SUM(F200:K200)</f>
        <v>64651.01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1048851.42+817067.6+8982.54-52684.4</f>
        <v>1822217.1600000001</v>
      </c>
      <c r="G202" s="18">
        <f>589025.2+436448.84+687.05-11316.67</f>
        <v>1014844.42</v>
      </c>
      <c r="H202" s="18">
        <f>414082.11+46424.31+10616.19</f>
        <v>471122.61</v>
      </c>
      <c r="I202" s="18">
        <f>13636.58+5441.54</f>
        <v>19078.12</v>
      </c>
      <c r="J202" s="18"/>
      <c r="K202" s="18"/>
      <c r="L202" s="19">
        <f t="shared" ref="L202:L208" si="0">SUM(F202:K202)</f>
        <v>3327262.31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188877.4+252436.29</f>
        <v>441313.69</v>
      </c>
      <c r="G203" s="18">
        <f>44384.05+178640.15</f>
        <v>223024.2</v>
      </c>
      <c r="H203" s="18">
        <f>20348.02+1244.48+67861.73+31138.66</f>
        <v>120592.89</v>
      </c>
      <c r="I203" s="18">
        <f>36294.76+65422.36</f>
        <v>101717.12</v>
      </c>
      <c r="J203" s="18">
        <f>1363.98+10387.86</f>
        <v>11751.84</v>
      </c>
      <c r="K203" s="18">
        <v>238</v>
      </c>
      <c r="L203" s="19">
        <f t="shared" si="0"/>
        <v>898637.74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310365.84999999998</v>
      </c>
      <c r="G204" s="18">
        <v>142899.32999999999</v>
      </c>
      <c r="H204" s="18">
        <f>47755.66+7851.04+10479.31</f>
        <v>66086.010000000009</v>
      </c>
      <c r="I204" s="18">
        <f>7443.58</f>
        <v>7443.58</v>
      </c>
      <c r="J204" s="18"/>
      <c r="K204" s="18">
        <v>8291.86</v>
      </c>
      <c r="L204" s="19">
        <f t="shared" si="0"/>
        <v>535086.62999999989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1204624.1299999999</v>
      </c>
      <c r="G205" s="18">
        <f>696067.72+18738.44</f>
        <v>714806.15999999992</v>
      </c>
      <c r="H205" s="18">
        <f>6641.66+39224.86+5296.84</f>
        <v>51163.360000000001</v>
      </c>
      <c r="I205" s="18">
        <f>14878.9-143.74</f>
        <v>14735.16</v>
      </c>
      <c r="J205" s="18">
        <v>317.89999999999998</v>
      </c>
      <c r="K205" s="18">
        <v>8135</v>
      </c>
      <c r="L205" s="19">
        <f t="shared" si="0"/>
        <v>1993781.7099999997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186474.33</v>
      </c>
      <c r="G206" s="18">
        <v>97705.09</v>
      </c>
      <c r="H206" s="18">
        <v>2153.6799999999998</v>
      </c>
      <c r="I206" s="18">
        <v>946.29</v>
      </c>
      <c r="J206" s="18"/>
      <c r="K206" s="18">
        <v>2970.6</v>
      </c>
      <c r="L206" s="19">
        <f t="shared" si="0"/>
        <v>290249.98999999993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652818.28+180410.94</f>
        <v>833229.22</v>
      </c>
      <c r="G207" s="18">
        <f>384889.23+114357.95+155.6</f>
        <v>499402.77999999997</v>
      </c>
      <c r="H207" s="18">
        <f>114762.67+151123.38+33885.49+86724.48</f>
        <v>386496.01999999996</v>
      </c>
      <c r="I207" s="18">
        <f>714775.38+121772.1+44823.86+90.56</f>
        <v>881461.9</v>
      </c>
      <c r="J207" s="18"/>
      <c r="K207" s="18"/>
      <c r="L207" s="19">
        <f t="shared" si="0"/>
        <v>2600589.92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712461.81+446379.13</f>
        <v>1158840.94</v>
      </c>
      <c r="I208" s="18"/>
      <c r="J208" s="18"/>
      <c r="K208" s="18"/>
      <c r="L208" s="19">
        <f t="shared" si="0"/>
        <v>1158840.94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22763.48</v>
      </c>
      <c r="J209" s="18"/>
      <c r="K209" s="18"/>
      <c r="L209" s="19">
        <f>SUM(F209:K209)</f>
        <v>22763.48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16483128.800000001</v>
      </c>
      <c r="G211" s="41">
        <f t="shared" si="1"/>
        <v>8665363.8100000005</v>
      </c>
      <c r="H211" s="41">
        <f t="shared" si="1"/>
        <v>3177142.9699999997</v>
      </c>
      <c r="I211" s="41">
        <f t="shared" si="1"/>
        <v>1151960.21</v>
      </c>
      <c r="J211" s="41">
        <f t="shared" si="1"/>
        <v>22774.170000000002</v>
      </c>
      <c r="K211" s="41">
        <f t="shared" si="1"/>
        <v>21907.87</v>
      </c>
      <c r="L211" s="41">
        <f t="shared" si="1"/>
        <v>29522277.829999998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4578437.34+118068.83</f>
        <v>4696506.17</v>
      </c>
      <c r="G215" s="18">
        <f>2341711.57+52700</f>
        <v>2394411.5699999998</v>
      </c>
      <c r="H215" s="18">
        <f>16489.47+305+549.8</f>
        <v>17344.27</v>
      </c>
      <c r="I215" s="18">
        <f>46117.58+3928.49</f>
        <v>50046.07</v>
      </c>
      <c r="J215" s="18">
        <v>6635.17</v>
      </c>
      <c r="K215" s="18"/>
      <c r="L215" s="19">
        <f>SUM(F215:K215)</f>
        <v>7164943.25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1723871.99+18692.58</f>
        <v>1742564.57</v>
      </c>
      <c r="G216" s="18">
        <v>823876.3</v>
      </c>
      <c r="H216" s="18">
        <f>1947.12+565.74+377193.99+5130</f>
        <v>384836.85</v>
      </c>
      <c r="I216" s="18">
        <f>1172.5+973.03</f>
        <v>2145.5299999999997</v>
      </c>
      <c r="J216" s="18">
        <v>2243.2399999999998</v>
      </c>
      <c r="K216" s="18">
        <v>1334.59</v>
      </c>
      <c r="L216" s="19">
        <f>SUM(F216:K216)</f>
        <v>2957001.08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127687.29+21407.99</f>
        <v>149095.28</v>
      </c>
      <c r="G218" s="18">
        <f>3536.1+22340.82</f>
        <v>25876.92</v>
      </c>
      <c r="H218" s="18">
        <f>17444+1850</f>
        <v>19294</v>
      </c>
      <c r="I218" s="18">
        <f>562.64+9069.67</f>
        <v>9632.31</v>
      </c>
      <c r="J218" s="18">
        <v>2415.9</v>
      </c>
      <c r="K218" s="18">
        <v>4125</v>
      </c>
      <c r="L218" s="19">
        <f>SUM(F218:K218)</f>
        <v>210439.41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698094.5+479865.1+5275.46-30941.63</f>
        <v>1152293.4300000002</v>
      </c>
      <c r="G220" s="18">
        <f>310438.15+256327.1+403.5-6646.3</f>
        <v>560522.44999999995</v>
      </c>
      <c r="H220" s="18">
        <f>118989.86+27265.08+6234.91</f>
        <v>152489.85</v>
      </c>
      <c r="I220" s="18">
        <f>8008.79+4010.04</f>
        <v>12018.83</v>
      </c>
      <c r="J220" s="18"/>
      <c r="K220" s="18"/>
      <c r="L220" s="19">
        <f t="shared" ref="L220:L226" si="2">SUM(F220:K220)</f>
        <v>1877324.5600000003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18239.05+148256.24</f>
        <v>166495.28999999998</v>
      </c>
      <c r="G221" s="18">
        <f>3903.67+104915.64</f>
        <v>108819.31</v>
      </c>
      <c r="H221" s="18">
        <f>8559.27+730.88+2999.99+18287.78</f>
        <v>30577.919999999998</v>
      </c>
      <c r="I221" s="18">
        <f>19629.35+38422.66</f>
        <v>58052.01</v>
      </c>
      <c r="J221" s="18">
        <f>57739.28+6100.81</f>
        <v>63840.09</v>
      </c>
      <c r="K221" s="18">
        <v>140</v>
      </c>
      <c r="L221" s="19">
        <f t="shared" si="2"/>
        <v>427924.62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182278.35</v>
      </c>
      <c r="G222" s="18">
        <v>83925</v>
      </c>
      <c r="H222" s="18">
        <f>28046.98+4610.93+6154.51</f>
        <v>38812.42</v>
      </c>
      <c r="I222" s="18">
        <v>4371.62</v>
      </c>
      <c r="J222" s="18"/>
      <c r="K222" s="18">
        <v>4869.83</v>
      </c>
      <c r="L222" s="19">
        <f t="shared" si="2"/>
        <v>314257.21999999997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892703.74</v>
      </c>
      <c r="G223" s="18">
        <f>510781.97+11005.12</f>
        <v>521787.08999999997</v>
      </c>
      <c r="H223" s="18">
        <f>2895.74+19384.79+3632.45</f>
        <v>25912.98</v>
      </c>
      <c r="I223" s="18">
        <v>11238.44</v>
      </c>
      <c r="J223" s="18">
        <v>3343.44</v>
      </c>
      <c r="K223" s="18">
        <v>5043.46</v>
      </c>
      <c r="L223" s="19">
        <f t="shared" si="2"/>
        <v>1460029.15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109516.67</v>
      </c>
      <c r="G224" s="18">
        <v>57382.35</v>
      </c>
      <c r="H224" s="18">
        <v>1264.8599999999999</v>
      </c>
      <c r="I224" s="18">
        <v>555.76</v>
      </c>
      <c r="J224" s="18"/>
      <c r="K224" s="18">
        <v>1744.64</v>
      </c>
      <c r="L224" s="19">
        <f t="shared" si="2"/>
        <v>170464.28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357617.69+105955.63</f>
        <v>463573.32</v>
      </c>
      <c r="G225" s="18">
        <f>168276.68+67162.61+91.38</f>
        <v>235530.66999999998</v>
      </c>
      <c r="H225" s="18">
        <f>59251.62+88755+19992.97+50933.43</f>
        <v>218933.02</v>
      </c>
      <c r="I225" s="18">
        <f>456396.15+71516.94+18802.08+53.18</f>
        <v>546768.35000000009</v>
      </c>
      <c r="J225" s="18"/>
      <c r="K225" s="18"/>
      <c r="L225" s="19">
        <f t="shared" si="2"/>
        <v>1464805.36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452501.71+267827.47</f>
        <v>720329.17999999993</v>
      </c>
      <c r="I226" s="18"/>
      <c r="J226" s="18"/>
      <c r="K226" s="18"/>
      <c r="L226" s="19">
        <f t="shared" si="2"/>
        <v>720329.17999999993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>
        <v>13369.02</v>
      </c>
      <c r="J227" s="18"/>
      <c r="K227" s="18"/>
      <c r="L227" s="19">
        <f>SUM(F227:K227)</f>
        <v>13369.02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9555026.8200000003</v>
      </c>
      <c r="G229" s="41">
        <f>SUM(G215:G228)</f>
        <v>4812131.66</v>
      </c>
      <c r="H229" s="41">
        <f>SUM(H215:H228)</f>
        <v>1609795.35</v>
      </c>
      <c r="I229" s="41">
        <f>SUM(I215:I228)</f>
        <v>708197.94000000018</v>
      </c>
      <c r="J229" s="41">
        <f>SUM(J215:J228)</f>
        <v>78477.84</v>
      </c>
      <c r="K229" s="41">
        <f t="shared" si="3"/>
        <v>17257.52</v>
      </c>
      <c r="L229" s="41">
        <f t="shared" si="3"/>
        <v>16780887.129999999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19843286.97+2585</f>
        <v>19845871.969999999</v>
      </c>
      <c r="I233" s="18"/>
      <c r="J233" s="18"/>
      <c r="K233" s="18"/>
      <c r="L233" s="19">
        <f>SUM(F233:K233)</f>
        <v>19845871.969999999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4916142.37</v>
      </c>
      <c r="I234" s="18"/>
      <c r="J234" s="18"/>
      <c r="K234" s="18"/>
      <c r="L234" s="19">
        <f>SUM(F234:K234)</f>
        <v>4916142.37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83626.03</v>
      </c>
      <c r="G238" s="18">
        <f>6166.13+11796.84</f>
        <v>17962.97</v>
      </c>
      <c r="H238" s="18">
        <f>216799.74+49.08</f>
        <v>216848.81999999998</v>
      </c>
      <c r="I238" s="18"/>
      <c r="J238" s="18"/>
      <c r="K238" s="18"/>
      <c r="L238" s="19">
        <f t="shared" ref="L238:L244" si="4">SUM(F238:K238)</f>
        <v>318437.81999999995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630952.99+401741.21</f>
        <v>1032694.2</v>
      </c>
      <c r="I244" s="18"/>
      <c r="J244" s="18"/>
      <c r="K244" s="18"/>
      <c r="L244" s="19">
        <f t="shared" si="4"/>
        <v>1032694.2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83626.03</v>
      </c>
      <c r="G247" s="41">
        <f t="shared" si="5"/>
        <v>17962.97</v>
      </c>
      <c r="H247" s="41">
        <f t="shared" si="5"/>
        <v>26011557.359999999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26113146.359999999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70232.17</v>
      </c>
      <c r="G251" s="18">
        <v>5969.01</v>
      </c>
      <c r="H251" s="18">
        <v>13669.36</v>
      </c>
      <c r="I251" s="18">
        <v>3700.94</v>
      </c>
      <c r="J251" s="18"/>
      <c r="K251" s="18"/>
      <c r="L251" s="19">
        <f t="shared" si="6"/>
        <v>93571.48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70232.17</v>
      </c>
      <c r="G256" s="41">
        <f t="shared" si="7"/>
        <v>5969.01</v>
      </c>
      <c r="H256" s="41">
        <f t="shared" si="7"/>
        <v>13669.36</v>
      </c>
      <c r="I256" s="41">
        <f t="shared" si="7"/>
        <v>3700.94</v>
      </c>
      <c r="J256" s="41">
        <f t="shared" si="7"/>
        <v>0</v>
      </c>
      <c r="K256" s="41">
        <f t="shared" si="7"/>
        <v>0</v>
      </c>
      <c r="L256" s="41">
        <f>SUM(F256:K256)</f>
        <v>93571.48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26192013.820000004</v>
      </c>
      <c r="G257" s="41">
        <f t="shared" si="8"/>
        <v>13501427.450000001</v>
      </c>
      <c r="H257" s="41">
        <f t="shared" si="8"/>
        <v>30812165.039999999</v>
      </c>
      <c r="I257" s="41">
        <f t="shared" si="8"/>
        <v>1863859.09</v>
      </c>
      <c r="J257" s="41">
        <f t="shared" si="8"/>
        <v>101252.01</v>
      </c>
      <c r="K257" s="41">
        <f t="shared" si="8"/>
        <v>39165.39</v>
      </c>
      <c r="L257" s="41">
        <f t="shared" si="8"/>
        <v>72509882.799999997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1915000</v>
      </c>
      <c r="L260" s="19">
        <f>SUM(F260:K260)</f>
        <v>1915000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572403.13</v>
      </c>
      <c r="L261" s="19">
        <f>SUM(F261:K261)</f>
        <v>572403.13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203700</v>
      </c>
      <c r="L268" s="19">
        <f t="shared" si="9"/>
        <v>203700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2691103.13</v>
      </c>
      <c r="L270" s="41">
        <f t="shared" si="9"/>
        <v>2691103.13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26192013.820000004</v>
      </c>
      <c r="G271" s="42">
        <f t="shared" si="11"/>
        <v>13501427.450000001</v>
      </c>
      <c r="H271" s="42">
        <f t="shared" si="11"/>
        <v>30812165.039999999</v>
      </c>
      <c r="I271" s="42">
        <f t="shared" si="11"/>
        <v>1863859.09</v>
      </c>
      <c r="J271" s="42">
        <f t="shared" si="11"/>
        <v>101252.01</v>
      </c>
      <c r="K271" s="42">
        <f t="shared" si="11"/>
        <v>2730268.52</v>
      </c>
      <c r="L271" s="42">
        <f t="shared" si="11"/>
        <v>75200985.929999992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2400+147</f>
        <v>2547</v>
      </c>
      <c r="G276" s="18">
        <f>319.54+51.7</f>
        <v>371.24</v>
      </c>
      <c r="H276" s="18">
        <v>0</v>
      </c>
      <c r="I276" s="18">
        <f>2247+10.38</f>
        <v>2257.38</v>
      </c>
      <c r="J276" s="18">
        <v>0</v>
      </c>
      <c r="K276" s="18">
        <v>0</v>
      </c>
      <c r="L276" s="19">
        <f>SUM(F276:K276)</f>
        <v>5175.62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473568.35+7986.64+366882.91+15000</f>
        <v>863437.89999999991</v>
      </c>
      <c r="G277" s="18">
        <f>132306.53+83761+27405.2+174.26</f>
        <v>243646.99000000002</v>
      </c>
      <c r="H277" s="18">
        <f>788.13+0.08</f>
        <v>788.21</v>
      </c>
      <c r="I277" s="18">
        <v>33283.64</v>
      </c>
      <c r="J277" s="18">
        <v>13583.19</v>
      </c>
      <c r="K277" s="18">
        <v>11860.14</v>
      </c>
      <c r="L277" s="19">
        <f>SUM(F277:K277)</f>
        <v>1166600.0699999996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83912.93+170344.44</f>
        <v>254257.37</v>
      </c>
      <c r="G281" s="18">
        <f>1886.12+6805.71+56137.29</f>
        <v>64829.120000000003</v>
      </c>
      <c r="H281" s="18">
        <f>21327.4+2101.74+18689.12+5600+487.25</f>
        <v>48205.509999999995</v>
      </c>
      <c r="I281" s="18">
        <f>3071.88+59495.56+1022.1</f>
        <v>63589.539999999994</v>
      </c>
      <c r="J281" s="18">
        <f>6188.16+2787.66+11496.1</f>
        <v>20471.919999999998</v>
      </c>
      <c r="K281" s="18">
        <f>2015.76+3271.04+181.72+7563</f>
        <v>13031.52</v>
      </c>
      <c r="L281" s="19">
        <f t="shared" ref="L281:L287" si="12">SUM(F281:K281)</f>
        <v>464384.98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5427+11397.15+1625+260+13467-147</f>
        <v>32029.15</v>
      </c>
      <c r="G282" s="18">
        <f>761+2214.62+318.97+2150+2582.09+19.89</f>
        <v>8046.5700000000006</v>
      </c>
      <c r="H282" s="18">
        <f>4750+153229.21+6773.29+7778.8+13409.85+70.8+1299</f>
        <v>187310.94999999998</v>
      </c>
      <c r="I282" s="18">
        <f>39+496+472.5+216.09+7865.24+24515.65+29235.32</f>
        <v>62839.8</v>
      </c>
      <c r="J282" s="18">
        <f>14893.2+5910</f>
        <v>20803.2</v>
      </c>
      <c r="K282" s="18">
        <f>86.31+290+705.24+432.39</f>
        <v>1513.94</v>
      </c>
      <c r="L282" s="19">
        <f t="shared" si="12"/>
        <v>312543.61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1152271.42</v>
      </c>
      <c r="G290" s="42">
        <f t="shared" si="13"/>
        <v>316893.92000000004</v>
      </c>
      <c r="H290" s="42">
        <f t="shared" si="13"/>
        <v>236304.66999999998</v>
      </c>
      <c r="I290" s="42">
        <f t="shared" si="13"/>
        <v>161970.35999999999</v>
      </c>
      <c r="J290" s="42">
        <f t="shared" si="13"/>
        <v>54858.31</v>
      </c>
      <c r="K290" s="42">
        <f t="shared" si="13"/>
        <v>26405.599999999999</v>
      </c>
      <c r="L290" s="41">
        <f t="shared" si="13"/>
        <v>1948704.2799999998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278127.44+4690.56</f>
        <v>282818</v>
      </c>
      <c r="G296" s="18">
        <f>77703.83+102.34</f>
        <v>77806.17</v>
      </c>
      <c r="H296" s="18">
        <v>462.87</v>
      </c>
      <c r="I296" s="18">
        <v>19547.53</v>
      </c>
      <c r="J296" s="18">
        <v>7977.43</v>
      </c>
      <c r="K296" s="18">
        <f>6965.48</f>
        <v>6965.48</v>
      </c>
      <c r="L296" s="19">
        <f>SUM(F296:K296)</f>
        <v>395577.47999999992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0</v>
      </c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3188+6693.57</f>
        <v>9881.57</v>
      </c>
      <c r="G301" s="18">
        <f>446.95+1300.65</f>
        <v>1747.6000000000001</v>
      </c>
      <c r="H301" s="18">
        <f>89991.76+3977.96+286.17</f>
        <v>94255.89</v>
      </c>
      <c r="I301" s="18">
        <f>126.91+4619.26+277.5+600.28</f>
        <v>5623.95</v>
      </c>
      <c r="J301" s="18">
        <f>19775.22+8746.8+1637.19</f>
        <v>30159.21</v>
      </c>
      <c r="K301" s="18">
        <f>50.69+106.72</f>
        <v>157.41</v>
      </c>
      <c r="L301" s="19">
        <f t="shared" si="14"/>
        <v>141825.63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292699.57</v>
      </c>
      <c r="G309" s="42">
        <f t="shared" si="15"/>
        <v>79553.77</v>
      </c>
      <c r="H309" s="42">
        <f t="shared" si="15"/>
        <v>94718.76</v>
      </c>
      <c r="I309" s="42">
        <f t="shared" si="15"/>
        <v>25171.48</v>
      </c>
      <c r="J309" s="42">
        <f t="shared" si="15"/>
        <v>38136.639999999999</v>
      </c>
      <c r="K309" s="42">
        <f t="shared" si="15"/>
        <v>7122.8899999999994</v>
      </c>
      <c r="L309" s="41">
        <f t="shared" si="15"/>
        <v>537403.10999999987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>
        <f>1433.98+90.7+32.2+8603.88+528.75+112.7</f>
        <v>10802.21</v>
      </c>
      <c r="H314" s="18">
        <f>5500+111.5</f>
        <v>5611.5</v>
      </c>
      <c r="I314" s="18">
        <f>295.9</f>
        <v>295.89999999999998</v>
      </c>
      <c r="J314" s="18">
        <f>35090.9+688.45</f>
        <v>35779.35</v>
      </c>
      <c r="K314" s="18"/>
      <c r="L314" s="19">
        <f>SUM(F314:K314)</f>
        <v>52488.959999999999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2375+17339.34</f>
        <v>19714.34</v>
      </c>
      <c r="I320" s="18">
        <v>708.4</v>
      </c>
      <c r="J320" s="18"/>
      <c r="K320" s="18">
        <v>181.19</v>
      </c>
      <c r="L320" s="19">
        <f t="shared" si="16"/>
        <v>20603.93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59435.68</v>
      </c>
      <c r="G321" s="18">
        <f>18300.04+994.4+4511.32+1100+8571.86+80.5+317.45+90.7+23</f>
        <v>33989.269999999997</v>
      </c>
      <c r="H321" s="18">
        <f>3334.65+41.46+564.5+63+210+3425.54+373.02+1774.5+466+1512.5+298.35</f>
        <v>12063.52</v>
      </c>
      <c r="I321" s="18">
        <f>929.53</f>
        <v>929.53</v>
      </c>
      <c r="J321" s="18">
        <v>27278</v>
      </c>
      <c r="K321" s="18">
        <f>545.59+2031.74</f>
        <v>2577.33</v>
      </c>
      <c r="L321" s="19">
        <f t="shared" si="16"/>
        <v>136273.32999999999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1500+1+212</f>
        <v>1713</v>
      </c>
      <c r="I324" s="18"/>
      <c r="J324" s="18"/>
      <c r="K324" s="18"/>
      <c r="L324" s="19">
        <f t="shared" si="16"/>
        <v>1713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59435.68</v>
      </c>
      <c r="G328" s="42">
        <f t="shared" si="17"/>
        <v>44791.479999999996</v>
      </c>
      <c r="H328" s="42">
        <f t="shared" si="17"/>
        <v>39102.36</v>
      </c>
      <c r="I328" s="42">
        <f t="shared" si="17"/>
        <v>1933.83</v>
      </c>
      <c r="J328" s="42">
        <f t="shared" si="17"/>
        <v>63057.35</v>
      </c>
      <c r="K328" s="42">
        <f t="shared" si="17"/>
        <v>2758.52</v>
      </c>
      <c r="L328" s="41">
        <f t="shared" si="17"/>
        <v>211079.21999999997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1503.99+28035+20537+8149.68</f>
        <v>58225.670000000006</v>
      </c>
      <c r="G333" s="18">
        <f>104.35+2144.78+1571.05+623.44</f>
        <v>4443.6200000000008</v>
      </c>
      <c r="H333" s="18">
        <f>750+843.03+74.88+240+1908.85+706.66</f>
        <v>4523.42</v>
      </c>
      <c r="I333" s="18">
        <f>675.88+4044.34+131.25</f>
        <v>4851.47</v>
      </c>
      <c r="J333" s="18">
        <v>1393.79</v>
      </c>
      <c r="K333" s="18">
        <f>65+138.45+991.63+3.6</f>
        <v>1198.6799999999998</v>
      </c>
      <c r="L333" s="19">
        <f t="shared" si="18"/>
        <v>74636.649999999994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58225.670000000006</v>
      </c>
      <c r="G337" s="41">
        <f t="shared" si="19"/>
        <v>4443.6200000000008</v>
      </c>
      <c r="H337" s="41">
        <f t="shared" si="19"/>
        <v>4523.42</v>
      </c>
      <c r="I337" s="41">
        <f t="shared" si="19"/>
        <v>4851.47</v>
      </c>
      <c r="J337" s="41">
        <f t="shared" si="19"/>
        <v>1393.79</v>
      </c>
      <c r="K337" s="41">
        <f t="shared" si="19"/>
        <v>1198.6799999999998</v>
      </c>
      <c r="L337" s="41">
        <f t="shared" si="18"/>
        <v>74636.649999999994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1562632.3399999999</v>
      </c>
      <c r="G338" s="41">
        <f t="shared" si="20"/>
        <v>445682.79000000004</v>
      </c>
      <c r="H338" s="41">
        <f t="shared" si="20"/>
        <v>374649.20999999996</v>
      </c>
      <c r="I338" s="41">
        <f t="shared" si="20"/>
        <v>193927.13999999998</v>
      </c>
      <c r="J338" s="41">
        <f t="shared" si="20"/>
        <v>157446.09</v>
      </c>
      <c r="K338" s="41">
        <f t="shared" si="20"/>
        <v>37485.689999999995</v>
      </c>
      <c r="L338" s="41">
        <f t="shared" si="20"/>
        <v>2771823.2599999993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1562632.3399999999</v>
      </c>
      <c r="G352" s="41">
        <f>G338</f>
        <v>445682.79000000004</v>
      </c>
      <c r="H352" s="41">
        <f>H338</f>
        <v>374649.20999999996</v>
      </c>
      <c r="I352" s="41">
        <f>I338</f>
        <v>193927.13999999998</v>
      </c>
      <c r="J352" s="41">
        <f>J338</f>
        <v>157446.09</v>
      </c>
      <c r="K352" s="47">
        <f>K338+K351</f>
        <v>37485.689999999995</v>
      </c>
      <c r="L352" s="41">
        <f>L338+L351</f>
        <v>2771823.2599999993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302088.01</v>
      </c>
      <c r="G358" s="18">
        <v>153732.44</v>
      </c>
      <c r="H358" s="18">
        <f>1346.5+6010.43+3999.95+4241+2850.75+3342.52+4180.01</f>
        <v>25971.160000000003</v>
      </c>
      <c r="I358" s="18">
        <f>42680.87+51642.5+57966.16+20284.49+49247.89+47284.28+83541.98+1799.48+24704.68+1789.54+2760.33</f>
        <v>383702.1999999999</v>
      </c>
      <c r="J358" s="18"/>
      <c r="K358" s="18">
        <v>665</v>
      </c>
      <c r="L358" s="13">
        <f>SUM(F358:K358)</f>
        <v>866158.80999999982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177416.76</v>
      </c>
      <c r="G359" s="18">
        <v>90287.3</v>
      </c>
      <c r="H359" s="18">
        <f>8283.81+851.5+1963.06+2454.93</f>
        <v>13553.3</v>
      </c>
      <c r="I359" s="18">
        <f>90352.75+108830.92+25066.54+10401.15+4248.39+1056.83</f>
        <v>239956.58</v>
      </c>
      <c r="J359" s="18"/>
      <c r="K359" s="18">
        <v>390</v>
      </c>
      <c r="L359" s="19">
        <f>SUM(F359:K359)</f>
        <v>521603.93999999994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479504.77</v>
      </c>
      <c r="G362" s="47">
        <f t="shared" si="22"/>
        <v>244019.74</v>
      </c>
      <c r="H362" s="47">
        <f t="shared" si="22"/>
        <v>39524.460000000006</v>
      </c>
      <c r="I362" s="47">
        <f t="shared" si="22"/>
        <v>623658.77999999991</v>
      </c>
      <c r="J362" s="47">
        <f t="shared" si="22"/>
        <v>0</v>
      </c>
      <c r="K362" s="47">
        <f t="shared" si="22"/>
        <v>1055</v>
      </c>
      <c r="L362" s="47">
        <f t="shared" si="22"/>
        <v>1387762.7499999998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42680.87+51642.5+57966.16+20284.49+49247.89+47284.28+83541.98</f>
        <v>352648.16999999993</v>
      </c>
      <c r="G367" s="18">
        <v>224250.21</v>
      </c>
      <c r="H367" s="18"/>
      <c r="I367" s="56">
        <f>SUM(F367:H367)</f>
        <v>576898.37999999989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383702.2-352648.17</f>
        <v>31054.030000000028</v>
      </c>
      <c r="G368" s="63">
        <f>239956.58-224250.21</f>
        <v>15706.369999999995</v>
      </c>
      <c r="H368" s="63"/>
      <c r="I368" s="56">
        <f>SUM(F368:H368)</f>
        <v>46760.400000000023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383702.19999999995</v>
      </c>
      <c r="G369" s="47">
        <f>SUM(G367:G368)</f>
        <v>239956.58</v>
      </c>
      <c r="H369" s="47">
        <f>SUM(H367:H368)</f>
        <v>0</v>
      </c>
      <c r="I369" s="47">
        <f>SUM(I367:I368)</f>
        <v>623658.77999999991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316.62</v>
      </c>
      <c r="I392" s="18"/>
      <c r="J392" s="24" t="s">
        <v>289</v>
      </c>
      <c r="K392" s="24" t="s">
        <v>289</v>
      </c>
      <c r="L392" s="56">
        <f t="shared" si="25"/>
        <v>316.62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316.62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316.62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316.62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316.62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182813.7</v>
      </c>
      <c r="G441" s="18"/>
      <c r="H441" s="18"/>
      <c r="I441" s="56">
        <f t="shared" si="33"/>
        <v>182813.7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182813.7</v>
      </c>
      <c r="G446" s="13">
        <f>SUM(G439:G445)</f>
        <v>0</v>
      </c>
      <c r="H446" s="13">
        <f>SUM(H439:H445)</f>
        <v>0</v>
      </c>
      <c r="I446" s="13">
        <f>SUM(I439:I445)</f>
        <v>182813.7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182813.7</v>
      </c>
      <c r="G459" s="18"/>
      <c r="H459" s="18"/>
      <c r="I459" s="56">
        <f t="shared" si="34"/>
        <v>182813.7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182813.7</v>
      </c>
      <c r="G460" s="83">
        <f>SUM(G454:G459)</f>
        <v>0</v>
      </c>
      <c r="H460" s="83">
        <f>SUM(H454:H459)</f>
        <v>0</v>
      </c>
      <c r="I460" s="83">
        <f>SUM(I454:I459)</f>
        <v>182813.7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182813.7</v>
      </c>
      <c r="G461" s="42">
        <f>G452+G460</f>
        <v>0</v>
      </c>
      <c r="H461" s="42">
        <f>H452+H460</f>
        <v>0</v>
      </c>
      <c r="I461" s="42">
        <f>I452+I460</f>
        <v>182813.7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4265567.62</v>
      </c>
      <c r="G465" s="18">
        <v>309818.39</v>
      </c>
      <c r="H465" s="18">
        <f>7820.66</f>
        <v>7820.66</v>
      </c>
      <c r="I465" s="18"/>
      <c r="J465" s="18">
        <v>182497.08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75770095.239999995</v>
      </c>
      <c r="G468" s="18">
        <v>1389050.02</v>
      </c>
      <c r="H468" s="18">
        <f>44516.16+190176.94+2537751.41</f>
        <v>2772444.5100000002</v>
      </c>
      <c r="I468" s="18"/>
      <c r="J468" s="18">
        <v>316.62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75770095.239999995</v>
      </c>
      <c r="G470" s="53">
        <f>SUM(G468:G469)</f>
        <v>1389050.02</v>
      </c>
      <c r="H470" s="53">
        <f>SUM(H468:H469)</f>
        <v>2772444.5100000002</v>
      </c>
      <c r="I470" s="53">
        <f>SUM(I468:I469)</f>
        <v>0</v>
      </c>
      <c r="J470" s="53">
        <f>SUM(J468:J469)</f>
        <v>316.62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75195855.93+5130</f>
        <v>75200985.930000007</v>
      </c>
      <c r="G472" s="18">
        <v>1387762.75</v>
      </c>
      <c r="H472" s="18">
        <f>43894.91+190176.94+2537751.41</f>
        <v>2771823.2600000002</v>
      </c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75200985.930000007</v>
      </c>
      <c r="G474" s="53">
        <f>SUM(G472:G473)</f>
        <v>1387762.75</v>
      </c>
      <c r="H474" s="53">
        <f>SUM(H472:H473)</f>
        <v>2771823.2600000002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4834676.9299999923</v>
      </c>
      <c r="G476" s="53">
        <f>(G465+G470)- G474</f>
        <v>311105.66000000015</v>
      </c>
      <c r="H476" s="53">
        <f>(H465+H470)- H474</f>
        <v>8441.910000000149</v>
      </c>
      <c r="I476" s="53">
        <f>(I465+I470)- I474</f>
        <v>0</v>
      </c>
      <c r="J476" s="53">
        <f>(J465+J470)- J474</f>
        <v>182813.69999999998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10</v>
      </c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912</v>
      </c>
      <c r="H491" s="155" t="s">
        <v>913</v>
      </c>
      <c r="I491" s="155" t="s">
        <v>914</v>
      </c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915</v>
      </c>
      <c r="H492" s="155" t="s">
        <v>916</v>
      </c>
      <c r="I492" s="155" t="s">
        <v>917</v>
      </c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6375000</v>
      </c>
      <c r="G493" s="18">
        <v>2125000</v>
      </c>
      <c r="H493" s="18">
        <v>23959000</v>
      </c>
      <c r="I493" s="18">
        <v>2355000</v>
      </c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5.3</v>
      </c>
      <c r="H494" s="18">
        <v>3.75</v>
      </c>
      <c r="I494" s="18">
        <v>2.2200000000000002</v>
      </c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640000-320000</f>
        <v>320000</v>
      </c>
      <c r="G495" s="18">
        <f>210000-105000</f>
        <v>105000</v>
      </c>
      <c r="H495" s="18">
        <f>14400000-1200000</f>
        <v>13200000</v>
      </c>
      <c r="I495" s="18">
        <f>2195000-295000</f>
        <v>1900000</v>
      </c>
      <c r="J495" s="18"/>
      <c r="K495" s="53">
        <f>SUM(F495:J495)</f>
        <v>15525000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320000</v>
      </c>
      <c r="G497" s="18">
        <v>105000</v>
      </c>
      <c r="H497" s="18">
        <v>1200000</v>
      </c>
      <c r="I497" s="18">
        <v>290000</v>
      </c>
      <c r="J497" s="18"/>
      <c r="K497" s="53">
        <f t="shared" si="35"/>
        <v>1915000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0</v>
      </c>
      <c r="H498" s="204">
        <v>12000000</v>
      </c>
      <c r="I498" s="204">
        <v>1610000</v>
      </c>
      <c r="J498" s="204"/>
      <c r="K498" s="205">
        <f t="shared" si="35"/>
        <v>13610000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0</v>
      </c>
      <c r="H499" s="18">
        <v>2470500</v>
      </c>
      <c r="I499" s="18">
        <v>159659.38</v>
      </c>
      <c r="J499" s="18"/>
      <c r="K499" s="53">
        <f t="shared" si="35"/>
        <v>2630159.38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14470500</v>
      </c>
      <c r="I500" s="42">
        <f>SUM(I498:I499)</f>
        <v>1769659.38</v>
      </c>
      <c r="J500" s="42">
        <f>SUM(J498:J499)</f>
        <v>0</v>
      </c>
      <c r="K500" s="42">
        <f t="shared" si="35"/>
        <v>16240159.379999999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0</v>
      </c>
      <c r="H501" s="204">
        <v>1200000</v>
      </c>
      <c r="I501" s="204">
        <v>285000</v>
      </c>
      <c r="J501" s="204"/>
      <c r="K501" s="205">
        <f t="shared" si="35"/>
        <v>1485000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0</v>
      </c>
      <c r="H502" s="18">
        <v>460500</v>
      </c>
      <c r="I502" s="18">
        <v>45384.38</v>
      </c>
      <c r="J502" s="18"/>
      <c r="K502" s="53">
        <f t="shared" si="35"/>
        <v>505884.38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1660500</v>
      </c>
      <c r="I503" s="42">
        <f>SUM(I501:I502)</f>
        <v>330384.38</v>
      </c>
      <c r="J503" s="42">
        <f>SUM(J501:J502)</f>
        <v>0</v>
      </c>
      <c r="K503" s="42">
        <f t="shared" si="35"/>
        <v>1990884.38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1657916.88</v>
      </c>
      <c r="G507" s="144">
        <v>471611.43</v>
      </c>
      <c r="H507" s="144">
        <v>132730.76999999999</v>
      </c>
      <c r="I507" s="144">
        <v>1996797.54</v>
      </c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3127416.69+52809.44+349517.91+751695.79+15000+667+260+5427.45</f>
        <v>4302794.28</v>
      </c>
      <c r="G521" s="18">
        <f>1432555.3+5457.06+109936.14+210010.36+2150+19.89+39.77+761.01</f>
        <v>1760929.5299999998</v>
      </c>
      <c r="H521" s="18">
        <f>1251+919929.46</f>
        <v>921180.46</v>
      </c>
      <c r="I521" s="18">
        <f>29250.87+60019.55+4998.65</f>
        <v>94269.069999999992</v>
      </c>
      <c r="J521" s="18">
        <f>13093.12+21560.62+3819.56</f>
        <v>38473.299999999996</v>
      </c>
      <c r="K521" s="18">
        <f>18825.62+290+4789.38+2272.41</f>
        <v>26177.41</v>
      </c>
      <c r="L521" s="88">
        <f>SUM(F521:K521)</f>
        <v>7143824.0500000007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1433823.86+31015.06+3187.55</f>
        <v>1468026.4700000002</v>
      </c>
      <c r="G522" s="18">
        <f>690311.98+3204.94+446.94</f>
        <v>693963.85999999987</v>
      </c>
      <c r="H522" s="18">
        <f>379706.85+5130</f>
        <v>384836.85</v>
      </c>
      <c r="I522" s="18">
        <v>2145.5300000000002</v>
      </c>
      <c r="J522" s="18">
        <v>2243.2399999999998</v>
      </c>
      <c r="K522" s="18">
        <v>1334.59</v>
      </c>
      <c r="L522" s="88">
        <f>SUM(F522:K522)</f>
        <v>2552550.54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4916142.37</v>
      </c>
      <c r="I523" s="18"/>
      <c r="J523" s="18"/>
      <c r="K523" s="18"/>
      <c r="L523" s="88">
        <f>SUM(F523:K523)</f>
        <v>4916142.37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5770820.75</v>
      </c>
      <c r="G524" s="108">
        <f t="shared" ref="G524:L524" si="36">SUM(G521:G523)</f>
        <v>2454893.3899999997</v>
      </c>
      <c r="H524" s="108">
        <f t="shared" si="36"/>
        <v>6222159.6799999997</v>
      </c>
      <c r="I524" s="108">
        <f t="shared" si="36"/>
        <v>96414.599999999991</v>
      </c>
      <c r="J524" s="108">
        <f t="shared" si="36"/>
        <v>40716.539999999994</v>
      </c>
      <c r="K524" s="108">
        <f t="shared" si="36"/>
        <v>27512</v>
      </c>
      <c r="L524" s="89">
        <f t="shared" si="36"/>
        <v>14612516.960000001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56006.7+45271.23+18090.72+1625+170344.44+12800+750531.01</f>
        <v>1054669.1000000001</v>
      </c>
      <c r="G526" s="18">
        <f>6383.76+3538.21+3515.27+318.97+55333.5+803.79+2542.32+350930.54</f>
        <v>423366.36</v>
      </c>
      <c r="H526" s="18">
        <f>28594.55+22939.34-17339.34+261547.22+5790+9809.85+1299+20519.82+1988.8+70.8+4750+414082.11+46424.32+5308.1</f>
        <v>805784.56999999983</v>
      </c>
      <c r="I526" s="18">
        <f>30287.79+708.4+24515.65+29235.32+2189.69+7926.74</f>
        <v>94863.590000000011</v>
      </c>
      <c r="J526" s="18">
        <f>5910+23640</f>
        <v>29550</v>
      </c>
      <c r="K526" s="18">
        <f>5929.41+103.75+432.39+705.24+3452.23+4789.38-242.75</f>
        <v>15169.650000000001</v>
      </c>
      <c r="L526" s="88">
        <f>SUM(F526:K526)</f>
        <v>2423403.2699999996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440788.06</v>
      </c>
      <c r="G527" s="18">
        <v>206102.06</v>
      </c>
      <c r="H527" s="18">
        <f>118989.86+27265.07+3117.45</f>
        <v>149372.38</v>
      </c>
      <c r="I527" s="18">
        <f>1286.01+4655.38</f>
        <v>5941.39</v>
      </c>
      <c r="J527" s="18"/>
      <c r="K527" s="18"/>
      <c r="L527" s="88">
        <f>SUM(F527:K527)</f>
        <v>802203.89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17339.34+4750</f>
        <v>22089.34</v>
      </c>
      <c r="I528" s="18"/>
      <c r="J528" s="18"/>
      <c r="K528" s="18">
        <f>33.25+242.75</f>
        <v>276</v>
      </c>
      <c r="L528" s="88">
        <f>SUM(F528:K528)</f>
        <v>22365.34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1495457.1600000001</v>
      </c>
      <c r="G529" s="89">
        <f t="shared" ref="G529:L529" si="37">SUM(G526:G528)</f>
        <v>629468.41999999993</v>
      </c>
      <c r="H529" s="89">
        <f t="shared" si="37"/>
        <v>977246.2899999998</v>
      </c>
      <c r="I529" s="89">
        <f t="shared" si="37"/>
        <v>100804.98000000001</v>
      </c>
      <c r="J529" s="89">
        <f t="shared" si="37"/>
        <v>29550</v>
      </c>
      <c r="K529" s="89">
        <f t="shared" si="37"/>
        <v>15445.650000000001</v>
      </c>
      <c r="L529" s="89">
        <f t="shared" si="37"/>
        <v>3247972.4999999995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211817.31</v>
      </c>
      <c r="G531" s="18">
        <v>197366.52</v>
      </c>
      <c r="H531" s="18">
        <v>5308.1</v>
      </c>
      <c r="I531" s="18"/>
      <c r="J531" s="18"/>
      <c r="K531" s="18"/>
      <c r="L531" s="88">
        <f>SUM(F531:K531)</f>
        <v>414491.92999999993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124400.65</v>
      </c>
      <c r="G532" s="18">
        <v>60449.58</v>
      </c>
      <c r="H532" s="18">
        <v>3117.45</v>
      </c>
      <c r="I532" s="18"/>
      <c r="J532" s="18"/>
      <c r="K532" s="18"/>
      <c r="L532" s="88">
        <f>SUM(F532:K532)</f>
        <v>187967.68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83626.03</v>
      </c>
      <c r="G533" s="18">
        <v>17962.97</v>
      </c>
      <c r="H533" s="18"/>
      <c r="I533" s="18"/>
      <c r="J533" s="18"/>
      <c r="K533" s="18"/>
      <c r="L533" s="88">
        <f>SUM(F533:K533)</f>
        <v>101589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419843.99</v>
      </c>
      <c r="G534" s="89">
        <f t="shared" ref="G534:L534" si="38">SUM(G531:G533)</f>
        <v>275779.06999999995</v>
      </c>
      <c r="H534" s="89">
        <f t="shared" si="38"/>
        <v>8425.5499999999993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704048.60999999987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13059.72</v>
      </c>
      <c r="I536" s="18"/>
      <c r="J536" s="18"/>
      <c r="K536" s="18"/>
      <c r="L536" s="88">
        <f>SUM(F536:K536)</f>
        <v>13059.72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7835.83</v>
      </c>
      <c r="I537" s="18"/>
      <c r="J537" s="18"/>
      <c r="K537" s="18"/>
      <c r="L537" s="88">
        <f>SUM(F537:K537)</f>
        <v>7835.83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11753.76</v>
      </c>
      <c r="I538" s="18"/>
      <c r="J538" s="18"/>
      <c r="K538" s="18"/>
      <c r="L538" s="88">
        <f>SUM(F538:K538)</f>
        <v>11753.76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32649.309999999998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32649.309999999998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423759.2+35284.22</f>
        <v>459043.42000000004</v>
      </c>
      <c r="I541" s="18"/>
      <c r="J541" s="18"/>
      <c r="K541" s="18"/>
      <c r="L541" s="88">
        <f>SUM(F541:K541)</f>
        <v>459043.42000000004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254255.52</f>
        <v>254255.52</v>
      </c>
      <c r="I542" s="18"/>
      <c r="J542" s="18"/>
      <c r="K542" s="18"/>
      <c r="L542" s="88">
        <f>SUM(F542:K542)</f>
        <v>254255.52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381383.29</f>
        <v>381383.29</v>
      </c>
      <c r="I543" s="18"/>
      <c r="J543" s="18"/>
      <c r="K543" s="18"/>
      <c r="L543" s="88">
        <f>SUM(F543:K543)</f>
        <v>381383.29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1094682.23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1094682.23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7686121.9000000004</v>
      </c>
      <c r="G545" s="89">
        <f t="shared" ref="G545:L545" si="41">G524+G529+G534+G539+G544</f>
        <v>3360140.8799999994</v>
      </c>
      <c r="H545" s="89">
        <f t="shared" si="41"/>
        <v>8335163.0599999987</v>
      </c>
      <c r="I545" s="89">
        <f t="shared" si="41"/>
        <v>197219.58000000002</v>
      </c>
      <c r="J545" s="89">
        <f t="shared" si="41"/>
        <v>70266.539999999994</v>
      </c>
      <c r="K545" s="89">
        <f t="shared" si="41"/>
        <v>42957.65</v>
      </c>
      <c r="L545" s="89">
        <f t="shared" si="41"/>
        <v>19691869.609999999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7143824.0500000007</v>
      </c>
      <c r="G549" s="87">
        <f>L526</f>
        <v>2423403.2699999996</v>
      </c>
      <c r="H549" s="87">
        <f>L531</f>
        <v>414491.92999999993</v>
      </c>
      <c r="I549" s="87">
        <f>L536</f>
        <v>13059.72</v>
      </c>
      <c r="J549" s="87">
        <f>L541</f>
        <v>459043.42000000004</v>
      </c>
      <c r="K549" s="87">
        <f>SUM(F549:J549)</f>
        <v>10453822.390000001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2552550.54</v>
      </c>
      <c r="G550" s="87">
        <f>L527</f>
        <v>802203.89</v>
      </c>
      <c r="H550" s="87">
        <f>L532</f>
        <v>187967.68</v>
      </c>
      <c r="I550" s="87">
        <f>L537</f>
        <v>7835.83</v>
      </c>
      <c r="J550" s="87">
        <f>L542</f>
        <v>254255.52</v>
      </c>
      <c r="K550" s="87">
        <f>SUM(F550:J550)</f>
        <v>3804813.4600000004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4916142.37</v>
      </c>
      <c r="G551" s="87">
        <f>L528</f>
        <v>22365.34</v>
      </c>
      <c r="H551" s="87">
        <f>L533</f>
        <v>101589</v>
      </c>
      <c r="I551" s="87">
        <f>L538</f>
        <v>11753.76</v>
      </c>
      <c r="J551" s="87">
        <f>L543</f>
        <v>381383.29</v>
      </c>
      <c r="K551" s="87">
        <f>SUM(F551:J551)</f>
        <v>5433233.7599999998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14612516.960000001</v>
      </c>
      <c r="G552" s="89">
        <f t="shared" si="42"/>
        <v>3247972.4999999995</v>
      </c>
      <c r="H552" s="89">
        <f t="shared" si="42"/>
        <v>704048.60999999987</v>
      </c>
      <c r="I552" s="89">
        <f t="shared" si="42"/>
        <v>32649.309999999998</v>
      </c>
      <c r="J552" s="89">
        <f t="shared" si="42"/>
        <v>1094682.23</v>
      </c>
      <c r="K552" s="89">
        <f t="shared" si="42"/>
        <v>19691869.609999999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111464.14</v>
      </c>
      <c r="G562" s="18">
        <v>50020.49</v>
      </c>
      <c r="H562" s="18">
        <v>2122.42</v>
      </c>
      <c r="I562" s="18">
        <v>1990.36</v>
      </c>
      <c r="J562" s="18">
        <v>3797.55</v>
      </c>
      <c r="K562" s="18">
        <v>181.72</v>
      </c>
      <c r="L562" s="88">
        <f>SUM(F562:K562)</f>
        <v>169576.68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65463.06</v>
      </c>
      <c r="G563" s="18">
        <v>29377.119999999999</v>
      </c>
      <c r="H563" s="18">
        <v>1246.5</v>
      </c>
      <c r="I563" s="18">
        <v>1168.94</v>
      </c>
      <c r="J563" s="18">
        <v>2230.3000000000002</v>
      </c>
      <c r="K563" s="18">
        <v>106.72</v>
      </c>
      <c r="L563" s="88">
        <f>SUM(F563:K563)</f>
        <v>99592.639999999999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176927.2</v>
      </c>
      <c r="G565" s="89">
        <f t="shared" si="44"/>
        <v>79397.61</v>
      </c>
      <c r="H565" s="89">
        <f t="shared" si="44"/>
        <v>3368.92</v>
      </c>
      <c r="I565" s="89">
        <f t="shared" si="44"/>
        <v>3159.3</v>
      </c>
      <c r="J565" s="89">
        <f t="shared" si="44"/>
        <v>6027.85</v>
      </c>
      <c r="K565" s="89">
        <f t="shared" si="44"/>
        <v>288.44</v>
      </c>
      <c r="L565" s="89">
        <f t="shared" si="44"/>
        <v>269169.32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251988</v>
      </c>
      <c r="G567" s="18">
        <v>118327.71</v>
      </c>
      <c r="H567" s="18">
        <v>1390.41</v>
      </c>
      <c r="I567" s="18">
        <v>797.81</v>
      </c>
      <c r="J567" s="18">
        <v>0</v>
      </c>
      <c r="K567" s="18">
        <v>71.819999999999993</v>
      </c>
      <c r="L567" s="88">
        <f>SUM(F567:K567)</f>
        <v>372575.75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204564</v>
      </c>
      <c r="G568" s="18">
        <v>101084.61</v>
      </c>
      <c r="H568" s="18">
        <v>816.59</v>
      </c>
      <c r="I568" s="18">
        <v>468.55</v>
      </c>
      <c r="J568" s="18">
        <v>0</v>
      </c>
      <c r="K568" s="18">
        <v>42.18</v>
      </c>
      <c r="L568" s="88">
        <f>SUM(F568:K568)</f>
        <v>306975.93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456552</v>
      </c>
      <c r="G570" s="193">
        <f t="shared" ref="G570:L570" si="45">SUM(G567:G569)</f>
        <v>219412.32</v>
      </c>
      <c r="H570" s="193">
        <f t="shared" si="45"/>
        <v>2207</v>
      </c>
      <c r="I570" s="193">
        <f t="shared" si="45"/>
        <v>1266.3599999999999</v>
      </c>
      <c r="J570" s="193">
        <f t="shared" si="45"/>
        <v>0</v>
      </c>
      <c r="K570" s="193">
        <f t="shared" si="45"/>
        <v>114</v>
      </c>
      <c r="L570" s="193">
        <f t="shared" si="45"/>
        <v>679551.67999999993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633479.19999999995</v>
      </c>
      <c r="G571" s="89">
        <f t="shared" ref="G571:L571" si="46">G560+G565+G570</f>
        <v>298809.93</v>
      </c>
      <c r="H571" s="89">
        <f t="shared" si="46"/>
        <v>5575.92</v>
      </c>
      <c r="I571" s="89">
        <f t="shared" si="46"/>
        <v>4425.66</v>
      </c>
      <c r="J571" s="89">
        <f t="shared" si="46"/>
        <v>6027.85</v>
      </c>
      <c r="K571" s="89">
        <f t="shared" si="46"/>
        <v>402.44</v>
      </c>
      <c r="L571" s="89">
        <f t="shared" si="46"/>
        <v>948721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10292.49+10656.16+31241.16</f>
        <v>52189.81</v>
      </c>
      <c r="I575" s="87">
        <f>SUM(F575:H575)</f>
        <v>52189.81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19798253.32</v>
      </c>
      <c r="I577" s="87">
        <f t="shared" si="47"/>
        <v>19798253.32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67900</v>
      </c>
      <c r="G579" s="18"/>
      <c r="H579" s="18">
        <f>10623.6+4566.5+20381.13+27586.65</f>
        <v>63157.880000000005</v>
      </c>
      <c r="I579" s="87">
        <f t="shared" si="47"/>
        <v>131057.88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3923495.62</v>
      </c>
      <c r="I581" s="87">
        <f t="shared" si="47"/>
        <v>3923495.62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341024.86+574625.92-67900</f>
        <v>847750.78</v>
      </c>
      <c r="G582" s="18">
        <v>377193.99</v>
      </c>
      <c r="H582" s="18">
        <v>3500</v>
      </c>
      <c r="I582" s="87">
        <f t="shared" si="47"/>
        <v>1228444.77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f>341024.86+574625.92-67900</f>
        <v>847750.78</v>
      </c>
      <c r="G583" s="18">
        <v>377193.99</v>
      </c>
      <c r="H583" s="18">
        <f>3500+921417.71</f>
        <v>924917.71</v>
      </c>
      <c r="I583" s="87">
        <f t="shared" si="47"/>
        <v>2149862.48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699797.52</v>
      </c>
      <c r="I591" s="18">
        <v>441225.17</v>
      </c>
      <c r="J591" s="18">
        <v>651310.91</v>
      </c>
      <c r="K591" s="104">
        <f t="shared" ref="K591:K597" si="48">SUM(H591:J591)</f>
        <v>1792333.6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459043.42</v>
      </c>
      <c r="I592" s="18">
        <v>254255.51999999996</v>
      </c>
      <c r="J592" s="18">
        <v>381383.29000000004</v>
      </c>
      <c r="K592" s="104">
        <f t="shared" si="48"/>
        <v>1094682.23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24848.49</v>
      </c>
      <c r="J594" s="18"/>
      <c r="K594" s="104">
        <f t="shared" si="48"/>
        <v>24848.49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1158840.94</v>
      </c>
      <c r="I598" s="108">
        <f>SUM(I591:I597)</f>
        <v>720329.17999999993</v>
      </c>
      <c r="J598" s="108">
        <f>SUM(J591:J597)</f>
        <v>1032694.2000000001</v>
      </c>
      <c r="K598" s="108">
        <f>SUM(K591:K597)</f>
        <v>2911864.3200000003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2787.66+11496.1+6188.16+13583.19+5910+14893.2+6884.87+3819.56+11751.84+317.9</f>
        <v>77632.479999999996</v>
      </c>
      <c r="I604" s="18">
        <f>19775.22+1637.19+7977.43+8746.8+6635.17+2243.24+2415.9+63840.09+3343.44</f>
        <v>116614.48</v>
      </c>
      <c r="J604" s="18">
        <f>688.45+27278+35090.9+1393.79</f>
        <v>64451.140000000007</v>
      </c>
      <c r="K604" s="104">
        <f>SUM(H604:J604)</f>
        <v>258698.1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77632.479999999996</v>
      </c>
      <c r="I605" s="108">
        <f>SUM(I602:I604)</f>
        <v>116614.48</v>
      </c>
      <c r="J605" s="108">
        <f>SUM(J602:J604)</f>
        <v>64451.140000000007</v>
      </c>
      <c r="K605" s="108">
        <f>SUM(K602:K604)</f>
        <v>258698.1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6270358.3700000001</v>
      </c>
      <c r="H617" s="109">
        <f>SUM(F52)</f>
        <v>6270358.3699999992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344145.33999999997</v>
      </c>
      <c r="H618" s="109">
        <f>SUM(G52)</f>
        <v>344145.34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379829.04000000004</v>
      </c>
      <c r="H619" s="109">
        <f>SUM(H52)</f>
        <v>379829.03999999992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182813.7</v>
      </c>
      <c r="H621" s="109">
        <f>SUM(J52)</f>
        <v>182813.7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4834676.93</v>
      </c>
      <c r="H622" s="109">
        <f>F476</f>
        <v>4834676.9299999923</v>
      </c>
      <c r="I622" s="121" t="s">
        <v>101</v>
      </c>
      <c r="J622" s="109">
        <f t="shared" ref="J622:J655" si="50">G622-H622</f>
        <v>7.4505805969238281E-9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311105.66000000003</v>
      </c>
      <c r="H623" s="109">
        <f>G476</f>
        <v>311105.66000000015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8441.91</v>
      </c>
      <c r="H624" s="109">
        <f>H476</f>
        <v>8441.910000000149</v>
      </c>
      <c r="I624" s="121" t="s">
        <v>103</v>
      </c>
      <c r="J624" s="109">
        <f t="shared" si="50"/>
        <v>-1.4915713109076023E-10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182813.7</v>
      </c>
      <c r="H626" s="109">
        <f>J476</f>
        <v>182813.69999999998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75770095.239999995</v>
      </c>
      <c r="H627" s="104">
        <f>SUM(F468)</f>
        <v>75770095.239999995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1389050.02</v>
      </c>
      <c r="H628" s="104">
        <f>SUM(G468)</f>
        <v>1389050.02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2772444.51</v>
      </c>
      <c r="H629" s="104">
        <f>SUM(H468)</f>
        <v>2772444.5100000002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316.62</v>
      </c>
      <c r="H631" s="104">
        <f>SUM(J468)</f>
        <v>316.62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75200985.929999992</v>
      </c>
      <c r="H632" s="104">
        <f>SUM(F472)</f>
        <v>75200985.930000007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2771823.2599999993</v>
      </c>
      <c r="H633" s="104">
        <f>SUM(H472)</f>
        <v>2771823.2600000002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623658.77999999991</v>
      </c>
      <c r="H634" s="104">
        <f>I369</f>
        <v>623658.77999999991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1387762.7499999998</v>
      </c>
      <c r="H635" s="104">
        <f>SUM(G472)</f>
        <v>1387762.75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316.62</v>
      </c>
      <c r="H637" s="164">
        <f>SUM(J468)</f>
        <v>316.62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182813.7</v>
      </c>
      <c r="H639" s="104">
        <f>SUM(F461)</f>
        <v>182813.7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182813.7</v>
      </c>
      <c r="H642" s="104">
        <f>SUM(I461)</f>
        <v>182813.7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316.62</v>
      </c>
      <c r="H644" s="104">
        <f>H408</f>
        <v>316.62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316.62</v>
      </c>
      <c r="H646" s="104">
        <f>L408</f>
        <v>316.62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2911864.3200000003</v>
      </c>
      <c r="H647" s="104">
        <f>L208+L226+L244</f>
        <v>2911864.32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258698.1</v>
      </c>
      <c r="H648" s="104">
        <f>(J257+J338)-(J255+J336)</f>
        <v>258698.09999999998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1158840.94</v>
      </c>
      <c r="H649" s="104">
        <f>H598</f>
        <v>1158840.94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720329.17999999993</v>
      </c>
      <c r="H650" s="104">
        <f>I598</f>
        <v>720329.17999999993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1032694.2</v>
      </c>
      <c r="H651" s="104">
        <f>J598</f>
        <v>1032694.2000000001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32337140.919999998</v>
      </c>
      <c r="G660" s="19">
        <f>(L229+L309+L359)</f>
        <v>17839894.18</v>
      </c>
      <c r="H660" s="19">
        <f>(L247+L328+L360)</f>
        <v>26324225.579999998</v>
      </c>
      <c r="I660" s="19">
        <f>SUM(F660:H660)</f>
        <v>76501260.679999992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465655.47430214903</v>
      </c>
      <c r="G661" s="19">
        <f>(L359/IF(SUM(L358:L360)=0,1,SUM(L358:L360))*(SUM(G97:G110)))</f>
        <v>280419.39569785097</v>
      </c>
      <c r="H661" s="19">
        <f>(L360/IF(SUM(L358:L360)=0,1,SUM(L358:L360))*(SUM(G97:G110)))</f>
        <v>0</v>
      </c>
      <c r="I661" s="19">
        <f>SUM(F661:H661)</f>
        <v>746074.87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1158840.94</v>
      </c>
      <c r="G662" s="19">
        <f>(L226+L306)-(J226+J306)</f>
        <v>720329.17999999993</v>
      </c>
      <c r="H662" s="19">
        <f>(L244+L325)-(J244+J325)</f>
        <v>1032694.2</v>
      </c>
      <c r="I662" s="19">
        <f>SUM(F662:H662)</f>
        <v>2911864.32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1841034.04</v>
      </c>
      <c r="G663" s="199">
        <f>SUM(G575:G587)+SUM(I602:I604)+L612</f>
        <v>871002.46</v>
      </c>
      <c r="H663" s="199">
        <f>SUM(H575:H587)+SUM(J602:J604)+L613</f>
        <v>24829965.48</v>
      </c>
      <c r="I663" s="19">
        <f>SUM(F663:H663)</f>
        <v>27542001.98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28871610.465697847</v>
      </c>
      <c r="G664" s="19">
        <f>G660-SUM(G661:G663)</f>
        <v>15968143.144302148</v>
      </c>
      <c r="H664" s="19">
        <f>H660-SUM(H661:H663)</f>
        <v>461565.89999999851</v>
      </c>
      <c r="I664" s="19">
        <f>I660-SUM(I661:I663)</f>
        <v>45301319.50999999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2126.5</v>
      </c>
      <c r="G665" s="248">
        <v>1294.6099999999999</v>
      </c>
      <c r="H665" s="248"/>
      <c r="I665" s="19">
        <f>SUM(F665:H665)</f>
        <v>3421.1099999999997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13577.06</v>
      </c>
      <c r="G667" s="19">
        <f>ROUND(G664/G665,2)</f>
        <v>12334.33</v>
      </c>
      <c r="H667" s="19" t="e">
        <f>ROUND(H664/H665,2)</f>
        <v>#DIV/0!</v>
      </c>
      <c r="I667" s="19">
        <f>ROUND(I664/I665,2)</f>
        <v>13241.7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-461565.9</v>
      </c>
      <c r="I669" s="19">
        <f>SUM(F669:H669)</f>
        <v>-461565.9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13577.06</v>
      </c>
      <c r="G672" s="19">
        <f>ROUND((G664+G669)/(G665+G670),2)</f>
        <v>12334.33</v>
      </c>
      <c r="H672" s="19" t="e">
        <f>ROUND((H664+H669)/(H665+H670),2)</f>
        <v>#DIV/0!</v>
      </c>
      <c r="I672" s="19">
        <f>ROUND((I664+I669)/(I665+I670),2)</f>
        <v>13106.79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Derry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12773197.49</v>
      </c>
      <c r="C9" s="229">
        <f>'DOE25'!G197+'DOE25'!G215+'DOE25'!G233+'DOE25'!G276+'DOE25'!G295+'DOE25'!G314</f>
        <v>6762360.96</v>
      </c>
    </row>
    <row r="10" spans="1:3" x14ac:dyDescent="0.2">
      <c r="A10" t="s">
        <v>779</v>
      </c>
      <c r="B10" s="240">
        <v>12535091.77</v>
      </c>
      <c r="C10" s="240">
        <v>6678821.7699999996</v>
      </c>
    </row>
    <row r="11" spans="1:3" x14ac:dyDescent="0.2">
      <c r="A11" t="s">
        <v>780</v>
      </c>
      <c r="B11" s="240">
        <v>237958.72</v>
      </c>
      <c r="C11" s="240">
        <v>83527.94</v>
      </c>
    </row>
    <row r="12" spans="1:3" x14ac:dyDescent="0.2">
      <c r="A12" t="s">
        <v>781</v>
      </c>
      <c r="B12" s="240">
        <v>147</v>
      </c>
      <c r="C12" s="240">
        <v>11.25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12773197.49</v>
      </c>
      <c r="C13" s="231">
        <f>SUM(C10:C12)</f>
        <v>6762360.96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6445607.1500000004</v>
      </c>
      <c r="C18" s="229">
        <f>'DOE25'!G198+'DOE25'!G216+'DOE25'!G234+'DOE25'!G277+'DOE25'!G296+'DOE25'!G315</f>
        <v>2751515.7700000005</v>
      </c>
    </row>
    <row r="19" spans="1:3" x14ac:dyDescent="0.2">
      <c r="A19" t="s">
        <v>779</v>
      </c>
      <c r="B19" s="240">
        <f>4210804.2+10824+113593.58+66855.63+52679.5+120</f>
        <v>4454876.91</v>
      </c>
      <c r="C19" s="240">
        <v>2296681.81</v>
      </c>
    </row>
    <row r="20" spans="1:3" x14ac:dyDescent="0.2">
      <c r="A20" t="s">
        <v>780</v>
      </c>
      <c r="B20" s="240">
        <f>1856976.04+1040+2975+14295+115444.2</f>
        <v>1990730.24</v>
      </c>
      <c r="C20" s="240">
        <v>454833.96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6445607.1500000004</v>
      </c>
      <c r="C22" s="231">
        <f>SUM(C19:C21)</f>
        <v>2751515.77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203068.7</v>
      </c>
      <c r="C36" s="235">
        <f>'DOE25'!G200+'DOE25'!G218+'DOE25'!G236+'DOE25'!G279+'DOE25'!G298+'DOE25'!G317</f>
        <v>35596.5</v>
      </c>
    </row>
    <row r="37" spans="1:3" x14ac:dyDescent="0.2">
      <c r="A37" t="s">
        <v>779</v>
      </c>
      <c r="B37" s="240">
        <v>57859.42</v>
      </c>
      <c r="C37" s="240">
        <v>7497.19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145209.28</v>
      </c>
      <c r="C39" s="240">
        <v>28099.31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203068.7</v>
      </c>
      <c r="C40" s="231">
        <f>SUM(C37:C39)</f>
        <v>35596.5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O21" sqref="O2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Derry Cooperative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53789463.189999998</v>
      </c>
      <c r="D5" s="20">
        <f>SUM('DOE25'!L197:L200)+SUM('DOE25'!L215:L218)+SUM('DOE25'!L233:L236)-F5-G5</f>
        <v>53759732.449999996</v>
      </c>
      <c r="E5" s="243"/>
      <c r="F5" s="255">
        <f>SUM('DOE25'!J197:J200)+SUM('DOE25'!J215:J218)+SUM('DOE25'!J233:J236)</f>
        <v>21998.739999999998</v>
      </c>
      <c r="G5" s="53">
        <f>SUM('DOE25'!K197:K200)+SUM('DOE25'!K215:K218)+SUM('DOE25'!K233:K236)</f>
        <v>7732</v>
      </c>
      <c r="H5" s="259"/>
    </row>
    <row r="6" spans="1:9" x14ac:dyDescent="0.2">
      <c r="A6" s="32">
        <v>2100</v>
      </c>
      <c r="B6" t="s">
        <v>801</v>
      </c>
      <c r="C6" s="245">
        <f t="shared" si="0"/>
        <v>5523024.6900000004</v>
      </c>
      <c r="D6" s="20">
        <f>'DOE25'!L202+'DOE25'!L220+'DOE25'!L238-F6-G6</f>
        <v>5523024.6900000004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1326562.3599999999</v>
      </c>
      <c r="D7" s="20">
        <f>'DOE25'!L203+'DOE25'!L221+'DOE25'!L239-F7-G7</f>
        <v>1250592.43</v>
      </c>
      <c r="E7" s="243"/>
      <c r="F7" s="255">
        <f>'DOE25'!J203+'DOE25'!J221+'DOE25'!J239</f>
        <v>75591.929999999993</v>
      </c>
      <c r="G7" s="53">
        <f>'DOE25'!K203+'DOE25'!K221+'DOE25'!K239</f>
        <v>378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313534.68999999994</v>
      </c>
      <c r="D8" s="243"/>
      <c r="E8" s="20">
        <f>'DOE25'!L204+'DOE25'!L222+'DOE25'!L240-F8-G8-D9-D11</f>
        <v>300372.99999999994</v>
      </c>
      <c r="F8" s="255">
        <f>'DOE25'!J204+'DOE25'!J222+'DOE25'!J240</f>
        <v>0</v>
      </c>
      <c r="G8" s="53">
        <f>'DOE25'!K204+'DOE25'!K222+'DOE25'!K240</f>
        <v>13161.69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24168.86</v>
      </c>
      <c r="D9" s="244">
        <f>13300+989.1+215.29+7062.42+1000+86.5+664.5+82+769.05</f>
        <v>24168.86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32150</v>
      </c>
      <c r="D10" s="243"/>
      <c r="E10" s="244">
        <v>32150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511640.3</v>
      </c>
      <c r="D11" s="244">
        <f>165364.3+172955.05+62171.32+100128.38+173.94+182.41+756.49+3358.14+3119.77+2430.5+1000</f>
        <v>511640.3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3453810.8599999994</v>
      </c>
      <c r="D12" s="20">
        <f>'DOE25'!L205+'DOE25'!L223+'DOE25'!L241-F12-G12</f>
        <v>3436971.0599999996</v>
      </c>
      <c r="E12" s="243"/>
      <c r="F12" s="255">
        <f>'DOE25'!J205+'DOE25'!J223+'DOE25'!J241</f>
        <v>3661.34</v>
      </c>
      <c r="G12" s="53">
        <f>'DOE25'!K205+'DOE25'!K223+'DOE25'!K241</f>
        <v>13178.46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460714.2699999999</v>
      </c>
      <c r="D13" s="243"/>
      <c r="E13" s="20">
        <f>'DOE25'!L206+'DOE25'!L224+'DOE25'!L242-F13-G13</f>
        <v>455999.02999999991</v>
      </c>
      <c r="F13" s="255">
        <f>'DOE25'!J206+'DOE25'!J224+'DOE25'!J242</f>
        <v>0</v>
      </c>
      <c r="G13" s="53">
        <f>'DOE25'!K206+'DOE25'!K224+'DOE25'!K242</f>
        <v>4715.24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4065395.2800000003</v>
      </c>
      <c r="D14" s="20">
        <f>'DOE25'!L207+'DOE25'!L225+'DOE25'!L243-F14-G14</f>
        <v>4065395.2800000003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2911864.32</v>
      </c>
      <c r="D15" s="20">
        <f>'DOE25'!L208+'DOE25'!L226+'DOE25'!L244-F15-G15</f>
        <v>2911864.32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36132.5</v>
      </c>
      <c r="D16" s="243"/>
      <c r="E16" s="20">
        <f>'DOE25'!L209+'DOE25'!L227+'DOE25'!L245-F16-G16</f>
        <v>36132.5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93571.48</v>
      </c>
      <c r="D17" s="20">
        <f>'DOE25'!L251-F17-G17</f>
        <v>93571.48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2487403.13</v>
      </c>
      <c r="D25" s="243"/>
      <c r="E25" s="243"/>
      <c r="F25" s="258"/>
      <c r="G25" s="256"/>
      <c r="H25" s="257">
        <f>'DOE25'!L260+'DOE25'!L261+'DOE25'!L341+'DOE25'!L342</f>
        <v>2487403.13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810864.36999999988</v>
      </c>
      <c r="D29" s="20">
        <f>'DOE25'!L358+'DOE25'!L359+'DOE25'!L360-'DOE25'!I367-F29-G29</f>
        <v>809809.36999999988</v>
      </c>
      <c r="E29" s="243"/>
      <c r="F29" s="255">
        <f>'DOE25'!J358+'DOE25'!J359+'DOE25'!J360</f>
        <v>0</v>
      </c>
      <c r="G29" s="53">
        <f>'DOE25'!K358+'DOE25'!K359+'DOE25'!K360</f>
        <v>1055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2771823.2599999993</v>
      </c>
      <c r="D31" s="20">
        <f>'DOE25'!L290+'DOE25'!L309+'DOE25'!L328+'DOE25'!L333+'DOE25'!L334+'DOE25'!L335-F31-G31</f>
        <v>2576891.4799999995</v>
      </c>
      <c r="E31" s="243"/>
      <c r="F31" s="255">
        <f>'DOE25'!J290+'DOE25'!J309+'DOE25'!J328+'DOE25'!J333+'DOE25'!J334+'DOE25'!J335</f>
        <v>157446.09</v>
      </c>
      <c r="G31" s="53">
        <f>'DOE25'!K290+'DOE25'!K309+'DOE25'!K328+'DOE25'!K333+'DOE25'!K334+'DOE25'!K335</f>
        <v>37485.689999999995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74963661.719999999</v>
      </c>
      <c r="E33" s="246">
        <f>SUM(E5:E31)</f>
        <v>824654.5299999998</v>
      </c>
      <c r="F33" s="246">
        <f>SUM(F5:F31)</f>
        <v>258698.09999999998</v>
      </c>
      <c r="G33" s="246">
        <f>SUM(G5:G31)</f>
        <v>77706.079999999987</v>
      </c>
      <c r="H33" s="246">
        <f>SUM(H5:H31)</f>
        <v>2487403.13</v>
      </c>
    </row>
    <row r="35" spans="2:8" ht="12" thickBot="1" x14ac:dyDescent="0.25">
      <c r="B35" s="253" t="s">
        <v>847</v>
      </c>
      <c r="D35" s="254">
        <f>E33</f>
        <v>824654.5299999998</v>
      </c>
      <c r="E35" s="249"/>
    </row>
    <row r="36" spans="2:8" ht="12" thickTop="1" x14ac:dyDescent="0.2">
      <c r="B36" t="s">
        <v>815</v>
      </c>
      <c r="D36" s="20">
        <f>D33</f>
        <v>74963661.719999999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48" sqref="C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5948064.2199999997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176440.16</v>
      </c>
      <c r="D11" s="95">
        <f>'DOE25'!G12</f>
        <v>173854.06</v>
      </c>
      <c r="E11" s="95">
        <f>'DOE25'!H12</f>
        <v>0</v>
      </c>
      <c r="F11" s="95">
        <f>'DOE25'!I12</f>
        <v>0</v>
      </c>
      <c r="G11" s="95">
        <f>'DOE25'!J12</f>
        <v>182813.7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82406.63</v>
      </c>
      <c r="D12" s="95">
        <f>'DOE25'!G13</f>
        <v>106500.07</v>
      </c>
      <c r="E12" s="95">
        <f>'DOE25'!H13</f>
        <v>347569.32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37411.230000000003</v>
      </c>
      <c r="D13" s="95">
        <f>'DOE25'!G14</f>
        <v>1575.72</v>
      </c>
      <c r="E13" s="95">
        <f>'DOE25'!H14</f>
        <v>32259.72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26036.13</v>
      </c>
      <c r="D15" s="95">
        <f>'DOE25'!G16</f>
        <v>61290.49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6270358.3700000001</v>
      </c>
      <c r="D18" s="41">
        <f>SUM(D8:D17)</f>
        <v>344145.33999999997</v>
      </c>
      <c r="E18" s="41">
        <f>SUM(E8:E17)</f>
        <v>379829.04000000004</v>
      </c>
      <c r="F18" s="41">
        <f>SUM(F8:F17)</f>
        <v>0</v>
      </c>
      <c r="G18" s="41">
        <f>SUM(G8:G17)</f>
        <v>182813.7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350294.22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621211.96</v>
      </c>
      <c r="D23" s="95">
        <f>'DOE25'!G24</f>
        <v>603.08000000000004</v>
      </c>
      <c r="E23" s="95">
        <f>'DOE25'!H24</f>
        <v>21092.91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765864.48</v>
      </c>
      <c r="D27" s="95">
        <f>'DOE25'!G28</f>
        <v>4713.16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48605</v>
      </c>
      <c r="D29" s="95">
        <f>'DOE25'!G30</f>
        <v>27723.439999999999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1435681.44</v>
      </c>
      <c r="D31" s="41">
        <f>SUM(D21:D30)</f>
        <v>33039.68</v>
      </c>
      <c r="E31" s="41">
        <f>SUM(E21:E30)</f>
        <v>371387.12999999995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26036.13</v>
      </c>
      <c r="D34" s="95">
        <f>'DOE25'!G35</f>
        <v>61290.49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249815.17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8441.91</v>
      </c>
      <c r="F47" s="95">
        <f>'DOE25'!I48</f>
        <v>0</v>
      </c>
      <c r="G47" s="95">
        <f>'DOE25'!J48</f>
        <v>182813.7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549491.5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4259149.3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4834676.93</v>
      </c>
      <c r="D50" s="41">
        <f>SUM(D34:D49)</f>
        <v>311105.66000000003</v>
      </c>
      <c r="E50" s="41">
        <f>SUM(E34:E49)</f>
        <v>8441.91</v>
      </c>
      <c r="F50" s="41">
        <f>SUM(F34:F49)</f>
        <v>0</v>
      </c>
      <c r="G50" s="41">
        <f>SUM(G34:G49)</f>
        <v>182813.7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6270358.3699999992</v>
      </c>
      <c r="D51" s="41">
        <f>D50+D31</f>
        <v>344145.34</v>
      </c>
      <c r="E51" s="41">
        <f>E50+E31</f>
        <v>379829.03999999992</v>
      </c>
      <c r="F51" s="41">
        <f>F50+F31</f>
        <v>0</v>
      </c>
      <c r="G51" s="41">
        <f>G50+G31</f>
        <v>182813.7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40727970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545572.35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1021.87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316.62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746074.87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671895.54</v>
      </c>
      <c r="D61" s="95">
        <f>SUM('DOE25'!G98:G110)</f>
        <v>0</v>
      </c>
      <c r="E61" s="95">
        <f>SUM('DOE25'!H98:H110)</f>
        <v>44516.160000000003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1218489.76</v>
      </c>
      <c r="D62" s="130">
        <f>SUM(D57:D61)</f>
        <v>746074.87</v>
      </c>
      <c r="E62" s="130">
        <f>SUM(E57:E61)</f>
        <v>44516.160000000003</v>
      </c>
      <c r="F62" s="130">
        <f>SUM(F57:F61)</f>
        <v>0</v>
      </c>
      <c r="G62" s="130">
        <f>SUM(G57:G61)</f>
        <v>316.62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41946459.759999998</v>
      </c>
      <c r="D63" s="22">
        <f>D56+D62</f>
        <v>746074.87</v>
      </c>
      <c r="E63" s="22">
        <f>E56+E62</f>
        <v>44516.160000000003</v>
      </c>
      <c r="F63" s="22">
        <f>F56+F62</f>
        <v>0</v>
      </c>
      <c r="G63" s="22">
        <f>G56+G62</f>
        <v>316.62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25680049.760000002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6077304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31757353.760000002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734659.08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796562.76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19994.259999999998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1531221.8399999999</v>
      </c>
      <c r="D78" s="130">
        <f>SUM(D72:D77)</f>
        <v>19994.259999999998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33288575.600000001</v>
      </c>
      <c r="D81" s="130">
        <f>SUM(D79:D80)+D78+D70</f>
        <v>19994.259999999998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535059.88</v>
      </c>
      <c r="D88" s="95">
        <f>SUM('DOE25'!G153:G161)</f>
        <v>622980.89</v>
      </c>
      <c r="E88" s="95">
        <f>SUM('DOE25'!H153:H161)</f>
        <v>2727928.3499999996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535059.88</v>
      </c>
      <c r="D91" s="131">
        <f>SUM(D85:D90)</f>
        <v>622980.89</v>
      </c>
      <c r="E91" s="131">
        <f>SUM(E85:E90)</f>
        <v>2727928.3499999996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75770095.239999995</v>
      </c>
      <c r="D104" s="86">
        <f>D63+D81+D91+D103</f>
        <v>1389050.02</v>
      </c>
      <c r="E104" s="86">
        <f>E63+E81+E91+E103</f>
        <v>2772444.51</v>
      </c>
      <c r="F104" s="86">
        <f>F63+F81+F91+F103</f>
        <v>0</v>
      </c>
      <c r="G104" s="86">
        <f>G63+G81+G103</f>
        <v>316.62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39547236.25</v>
      </c>
      <c r="D109" s="24" t="s">
        <v>289</v>
      </c>
      <c r="E109" s="95">
        <f>('DOE25'!L276)+('DOE25'!L295)+('DOE25'!L314)</f>
        <v>57664.58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13967136.52</v>
      </c>
      <c r="D110" s="24" t="s">
        <v>289</v>
      </c>
      <c r="E110" s="95">
        <f>('DOE25'!L277)+('DOE25'!L296)+('DOE25'!L315)</f>
        <v>1562177.5499999996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275090.42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93571.48</v>
      </c>
      <c r="D114" s="24" t="s">
        <v>289</v>
      </c>
      <c r="E114" s="95">
        <f>+ SUM('DOE25'!L333:L335)</f>
        <v>74636.649999999994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53883034.669999994</v>
      </c>
      <c r="D115" s="86">
        <f>SUM(D109:D114)</f>
        <v>0</v>
      </c>
      <c r="E115" s="86">
        <f>SUM(E109:E114)</f>
        <v>1694478.7799999996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5523024.6900000004</v>
      </c>
      <c r="D118" s="24" t="s">
        <v>289</v>
      </c>
      <c r="E118" s="95">
        <f>+('DOE25'!L281)+('DOE25'!L300)+('DOE25'!L319)</f>
        <v>464384.98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1326562.3599999999</v>
      </c>
      <c r="D119" s="24" t="s">
        <v>289</v>
      </c>
      <c r="E119" s="95">
        <f>+('DOE25'!L282)+('DOE25'!L301)+('DOE25'!L320)</f>
        <v>474973.17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849343.84999999986</v>
      </c>
      <c r="D120" s="24" t="s">
        <v>289</v>
      </c>
      <c r="E120" s="95">
        <f>+('DOE25'!L283)+('DOE25'!L302)+('DOE25'!L321)</f>
        <v>136273.32999999999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3453810.8599999994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460714.2699999999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4065395.2800000003</v>
      </c>
      <c r="D123" s="24" t="s">
        <v>289</v>
      </c>
      <c r="E123" s="95">
        <f>+('DOE25'!L286)+('DOE25'!L305)+('DOE25'!L324)</f>
        <v>1713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2911864.32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36132.5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1387762.7499999998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18626848.129999999</v>
      </c>
      <c r="D128" s="86">
        <f>SUM(D118:D127)</f>
        <v>1387762.7499999998</v>
      </c>
      <c r="E128" s="86">
        <f>SUM(E118:E127)</f>
        <v>1077344.48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1915000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572403.13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316.62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-316.62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203700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2691103.13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75200985.929999992</v>
      </c>
      <c r="D145" s="86">
        <f>(D115+D128+D144)</f>
        <v>1387762.7499999998</v>
      </c>
      <c r="E145" s="86">
        <f>(E115+E128+E144)</f>
        <v>2771823.26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10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02/94</v>
      </c>
      <c r="C152" s="152" t="str">
        <f>'DOE25'!G491</f>
        <v>02/94</v>
      </c>
      <c r="D152" s="152" t="str">
        <f>'DOE25'!H491</f>
        <v>07/03</v>
      </c>
      <c r="E152" s="152" t="str">
        <f>'DOE25'!I491</f>
        <v>01/11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06/14</v>
      </c>
      <c r="C153" s="152" t="str">
        <f>'DOE25'!G492</f>
        <v>06/14</v>
      </c>
      <c r="D153" s="152" t="str">
        <f>'DOE25'!H492</f>
        <v>07/23</v>
      </c>
      <c r="E153" s="152" t="str">
        <f>'DOE25'!I492</f>
        <v>07/19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6375000</v>
      </c>
      <c r="C154" s="137">
        <f>'DOE25'!G493</f>
        <v>2125000</v>
      </c>
      <c r="D154" s="137">
        <f>'DOE25'!H493</f>
        <v>23959000</v>
      </c>
      <c r="E154" s="137">
        <f>'DOE25'!I493</f>
        <v>2355000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5.3</v>
      </c>
      <c r="D155" s="137">
        <f>'DOE25'!H494</f>
        <v>3.75</v>
      </c>
      <c r="E155" s="137">
        <f>'DOE25'!I494</f>
        <v>2.2200000000000002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320000</v>
      </c>
      <c r="C156" s="137">
        <f>'DOE25'!G495</f>
        <v>105000</v>
      </c>
      <c r="D156" s="137">
        <f>'DOE25'!H495</f>
        <v>13200000</v>
      </c>
      <c r="E156" s="137">
        <f>'DOE25'!I495</f>
        <v>1900000</v>
      </c>
      <c r="F156" s="137">
        <f>'DOE25'!J495</f>
        <v>0</v>
      </c>
      <c r="G156" s="138">
        <f>SUM(B156:F156)</f>
        <v>15525000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320000</v>
      </c>
      <c r="C158" s="137">
        <f>'DOE25'!G497</f>
        <v>105000</v>
      </c>
      <c r="D158" s="137">
        <f>'DOE25'!H497</f>
        <v>1200000</v>
      </c>
      <c r="E158" s="137">
        <f>'DOE25'!I497</f>
        <v>290000</v>
      </c>
      <c r="F158" s="137">
        <f>'DOE25'!J497</f>
        <v>0</v>
      </c>
      <c r="G158" s="138">
        <f t="shared" si="0"/>
        <v>1915000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12000000</v>
      </c>
      <c r="E159" s="137">
        <f>'DOE25'!I498</f>
        <v>1610000</v>
      </c>
      <c r="F159" s="137">
        <f>'DOE25'!J498</f>
        <v>0</v>
      </c>
      <c r="G159" s="138">
        <f t="shared" si="0"/>
        <v>13610000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2470500</v>
      </c>
      <c r="E160" s="137">
        <f>'DOE25'!I499</f>
        <v>159659.38</v>
      </c>
      <c r="F160" s="137">
        <f>'DOE25'!J499</f>
        <v>0</v>
      </c>
      <c r="G160" s="138">
        <f t="shared" si="0"/>
        <v>2630159.38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14470500</v>
      </c>
      <c r="E161" s="137">
        <f>'DOE25'!I500</f>
        <v>1769659.38</v>
      </c>
      <c r="F161" s="137">
        <f>'DOE25'!J500</f>
        <v>0</v>
      </c>
      <c r="G161" s="138">
        <f t="shared" si="0"/>
        <v>16240159.379999999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1200000</v>
      </c>
      <c r="E162" s="137">
        <f>'DOE25'!I501</f>
        <v>285000</v>
      </c>
      <c r="F162" s="137">
        <f>'DOE25'!J501</f>
        <v>0</v>
      </c>
      <c r="G162" s="138">
        <f t="shared" si="0"/>
        <v>1485000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460500</v>
      </c>
      <c r="E163" s="137">
        <f>'DOE25'!I502</f>
        <v>45384.38</v>
      </c>
      <c r="F163" s="137">
        <f>'DOE25'!J502</f>
        <v>0</v>
      </c>
      <c r="G163" s="138">
        <f t="shared" si="0"/>
        <v>505884.38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1660500</v>
      </c>
      <c r="E164" s="137">
        <f>'DOE25'!I503</f>
        <v>330384.38</v>
      </c>
      <c r="F164" s="137">
        <f>'DOE25'!J503</f>
        <v>0</v>
      </c>
      <c r="G164" s="138">
        <f t="shared" si="0"/>
        <v>1990884.38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Derry Cooperative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13577</v>
      </c>
    </row>
    <row r="5" spans="1:4" x14ac:dyDescent="0.2">
      <c r="B5" t="s">
        <v>704</v>
      </c>
      <c r="C5" s="179">
        <f>IF('DOE25'!G665+'DOE25'!G670=0,0,ROUND('DOE25'!G672,0))</f>
        <v>12334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13107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39604901</v>
      </c>
      <c r="D10" s="182">
        <f>ROUND((C10/$C$28)*100,1)</f>
        <v>51.6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15529314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275090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5987410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1801536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1021750</v>
      </c>
      <c r="D17" s="182">
        <f t="shared" si="0"/>
        <v>1.3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3453811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460714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4067108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2911864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168208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572403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203700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641688.13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76699497.129999995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76699497.129999995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1915000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40727970</v>
      </c>
      <c r="D35" s="182">
        <f t="shared" ref="D35:D40" si="1">ROUND((C35/$C$41)*100,1)</f>
        <v>51.4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1263322.5399999917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31757354</v>
      </c>
      <c r="D37" s="182">
        <f t="shared" si="1"/>
        <v>40.1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1551216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3885969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79185831.539999992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Derry Cooperative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24</v>
      </c>
      <c r="C5" s="282" t="s">
        <v>918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7</v>
      </c>
      <c r="B6" s="219">
        <v>1</v>
      </c>
      <c r="C6" s="282" t="s">
        <v>919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 t="s">
        <v>920</v>
      </c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65:M65"/>
    <mergeCell ref="C60:M60"/>
    <mergeCell ref="C58:M58"/>
    <mergeCell ref="C62:M62"/>
    <mergeCell ref="C61:M61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32:M32"/>
    <mergeCell ref="C30:M30"/>
    <mergeCell ref="C31:M31"/>
    <mergeCell ref="P31:Z31"/>
    <mergeCell ref="AC31:AM31"/>
    <mergeCell ref="AP31:AZ31"/>
    <mergeCell ref="P32:Z32"/>
    <mergeCell ref="C28:M28"/>
    <mergeCell ref="C39:M39"/>
    <mergeCell ref="C29:M29"/>
    <mergeCell ref="C34:M34"/>
    <mergeCell ref="C35:M35"/>
    <mergeCell ref="C36:M36"/>
    <mergeCell ref="C38:M38"/>
    <mergeCell ref="AC32:AM32"/>
    <mergeCell ref="AP32:AZ32"/>
    <mergeCell ref="P38:Z38"/>
    <mergeCell ref="AC38:AM38"/>
    <mergeCell ref="AP38:AZ38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C17:M17"/>
    <mergeCell ref="C18:M18"/>
    <mergeCell ref="C19:M19"/>
    <mergeCell ref="C20:M20"/>
    <mergeCell ref="AP29:AZ29"/>
    <mergeCell ref="C21:M21"/>
    <mergeCell ref="C22:M22"/>
    <mergeCell ref="C23:M23"/>
    <mergeCell ref="C24:M24"/>
    <mergeCell ref="C25:M25"/>
    <mergeCell ref="C26:M26"/>
    <mergeCell ref="C27:M27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EC29:EM29"/>
    <mergeCell ref="EP29:EZ29"/>
    <mergeCell ref="FC29:FM29"/>
    <mergeCell ref="CP29:CZ29"/>
    <mergeCell ref="DP29:DZ29"/>
    <mergeCell ref="DC29:DM29"/>
    <mergeCell ref="BC29:BM29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FC30:FM30"/>
    <mergeCell ref="GC31:GM31"/>
    <mergeCell ref="GP31:GZ31"/>
    <mergeCell ref="HC31:HM31"/>
    <mergeCell ref="IP30:IV30"/>
    <mergeCell ref="AP40:AZ40"/>
    <mergeCell ref="BC31:BM31"/>
    <mergeCell ref="BC32:BM32"/>
    <mergeCell ref="BC39:BM39"/>
    <mergeCell ref="BP31:BZ31"/>
    <mergeCell ref="CC31:CM31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DC30:DM30"/>
    <mergeCell ref="DP30:DZ30"/>
    <mergeCell ref="CC32:CM32"/>
    <mergeCell ref="DC32:DM32"/>
    <mergeCell ref="BP32:BZ32"/>
    <mergeCell ref="FP30:FZ30"/>
    <mergeCell ref="FC31:FM31"/>
    <mergeCell ref="FP31:FZ31"/>
    <mergeCell ref="CP31:CZ31"/>
    <mergeCell ref="FP32:FZ32"/>
    <mergeCell ref="EC30:EM30"/>
    <mergeCell ref="EP30:EZ30"/>
    <mergeCell ref="DP32:DZ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DC39:DM39"/>
    <mergeCell ref="DP39:DZ39"/>
    <mergeCell ref="EC39:EM39"/>
    <mergeCell ref="GC39:GM39"/>
    <mergeCell ref="GC32:GM32"/>
    <mergeCell ref="EC32:EM32"/>
    <mergeCell ref="FC32:FM32"/>
    <mergeCell ref="HP39:HZ39"/>
    <mergeCell ref="IC32:IM32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HC39:HM39"/>
    <mergeCell ref="BP39:BZ39"/>
    <mergeCell ref="CC39:CM39"/>
    <mergeCell ref="CP39:CZ39"/>
    <mergeCell ref="BP38:BZ38"/>
    <mergeCell ref="CC38:CM38"/>
    <mergeCell ref="CP38:CZ38"/>
    <mergeCell ref="BC38:BM38"/>
    <mergeCell ref="P39:Z39"/>
    <mergeCell ref="AC39:AM39"/>
    <mergeCell ref="AP39:AZ39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0:M40"/>
    <mergeCell ref="P40:Z40"/>
    <mergeCell ref="AC40:A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2014-10-14T12:46:47Z</cp:lastPrinted>
  <dcterms:created xsi:type="dcterms:W3CDTF">1997-12-04T19:04:30Z</dcterms:created>
  <dcterms:modified xsi:type="dcterms:W3CDTF">2014-10-23T14:10:25Z</dcterms:modified>
</cp:coreProperties>
</file>