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A70A" lockStructure="1"/>
  <bookViews>
    <workbookView xWindow="900" yWindow="30" windowWidth="11160" windowHeight="51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F18" i="1"/>
  <c r="F48" i="1"/>
  <c r="F468" i="1"/>
  <c r="F63" i="1"/>
  <c r="I197" i="1" l="1"/>
  <c r="I215" i="1"/>
  <c r="I239" i="1"/>
  <c r="I221" i="1"/>
  <c r="I203" i="1"/>
  <c r="J604" i="1" l="1"/>
  <c r="I604" i="1"/>
  <c r="H604" i="1"/>
  <c r="H203" i="1"/>
  <c r="I204" i="1"/>
  <c r="I235" i="1"/>
  <c r="I236" i="1"/>
  <c r="H239" i="1"/>
  <c r="J239" i="1"/>
  <c r="H243" i="1"/>
  <c r="G239" i="1"/>
  <c r="J235" i="1"/>
  <c r="H235" i="1"/>
  <c r="J233" i="1"/>
  <c r="I233" i="1"/>
  <c r="H233" i="1"/>
  <c r="H225" i="1"/>
  <c r="H223" i="1"/>
  <c r="J205" i="1"/>
  <c r="J197" i="1"/>
  <c r="J203" i="1"/>
  <c r="I207" i="1"/>
  <c r="I198" i="1"/>
  <c r="H207" i="1"/>
  <c r="G203" i="1"/>
  <c r="G197" i="1"/>
  <c r="J209" i="1"/>
  <c r="J227" i="1"/>
  <c r="J245" i="1"/>
  <c r="I245" i="1"/>
  <c r="I227" i="1"/>
  <c r="I209" i="1"/>
  <c r="H245" i="1"/>
  <c r="H227" i="1"/>
  <c r="H209" i="1"/>
  <c r="J234" i="1"/>
  <c r="J216" i="1"/>
  <c r="J198" i="1"/>
  <c r="I234" i="1"/>
  <c r="I216" i="1"/>
  <c r="H468" i="1" l="1"/>
  <c r="F315" i="1"/>
  <c r="G315" i="1"/>
  <c r="H324" i="1"/>
  <c r="I324" i="1"/>
  <c r="K316" i="1"/>
  <c r="G324" i="1"/>
  <c r="F324" i="1"/>
  <c r="I320" i="1"/>
  <c r="H320" i="1"/>
  <c r="G320" i="1"/>
  <c r="I315" i="1"/>
  <c r="H315" i="1"/>
  <c r="G301" i="1"/>
  <c r="F301" i="1"/>
  <c r="G300" i="1"/>
  <c r="F300" i="1"/>
  <c r="I296" i="1"/>
  <c r="G296" i="1"/>
  <c r="F296" i="1"/>
  <c r="G284" i="1"/>
  <c r="F284" i="1"/>
  <c r="I282" i="1"/>
  <c r="H282" i="1"/>
  <c r="G282" i="1"/>
  <c r="F282" i="1"/>
  <c r="I281" i="1"/>
  <c r="G281" i="1"/>
  <c r="F281" i="1"/>
  <c r="I277" i="1"/>
  <c r="H277" i="1"/>
  <c r="G277" i="1"/>
  <c r="F277" i="1"/>
  <c r="F333" i="1" l="1"/>
  <c r="H287" i="1" l="1"/>
  <c r="H155" i="1"/>
  <c r="H154" i="1"/>
  <c r="H13" i="1"/>
  <c r="H28" i="1"/>
  <c r="H22" i="1"/>
  <c r="H24" i="1"/>
  <c r="H12" i="1"/>
  <c r="H14" i="1"/>
  <c r="G97" i="1" l="1"/>
  <c r="D11" i="13"/>
  <c r="G468" i="1"/>
  <c r="G40" i="1"/>
  <c r="H541" i="1" l="1"/>
  <c r="H523" i="1"/>
  <c r="H522" i="1"/>
  <c r="H521" i="1"/>
  <c r="G521" i="1"/>
  <c r="I521" i="1"/>
  <c r="F521" i="1"/>
  <c r="G523" i="1"/>
  <c r="F523" i="1"/>
  <c r="G522" i="1"/>
  <c r="F522" i="1"/>
  <c r="K533" i="1"/>
  <c r="J533" i="1"/>
  <c r="I533" i="1"/>
  <c r="H533" i="1"/>
  <c r="G533" i="1"/>
  <c r="F533" i="1"/>
  <c r="K532" i="1"/>
  <c r="J532" i="1"/>
  <c r="I532" i="1"/>
  <c r="H532" i="1"/>
  <c r="G532" i="1"/>
  <c r="F532" i="1"/>
  <c r="K531" i="1"/>
  <c r="J531" i="1"/>
  <c r="I531" i="1"/>
  <c r="H531" i="1"/>
  <c r="G531" i="1"/>
  <c r="F531" i="1"/>
  <c r="G528" i="1"/>
  <c r="H528" i="1"/>
  <c r="F528" i="1"/>
  <c r="G527" i="1"/>
  <c r="H527" i="1"/>
  <c r="H526" i="1"/>
  <c r="G526" i="1"/>
  <c r="F526" i="1"/>
  <c r="F527" i="1"/>
  <c r="G9" i="1"/>
  <c r="F197" i="1" l="1"/>
  <c r="B9" i="12" s="1"/>
  <c r="F198" i="1"/>
  <c r="H474" i="1"/>
  <c r="J468" i="1"/>
  <c r="I240" i="1"/>
  <c r="G204" i="1"/>
  <c r="F204" i="1"/>
  <c r="G222" i="1"/>
  <c r="F222" i="1"/>
  <c r="G240" i="1"/>
  <c r="F240" i="1"/>
  <c r="H244" i="1"/>
  <c r="H226" i="1"/>
  <c r="H208" i="1"/>
  <c r="L315" i="1"/>
  <c r="H290" i="1"/>
  <c r="L281" i="1"/>
  <c r="F14" i="1"/>
  <c r="F239" i="1"/>
  <c r="K204" i="1"/>
  <c r="G8" i="13" s="1"/>
  <c r="K222" i="1"/>
  <c r="K241" i="1"/>
  <c r="L241" i="1" s="1"/>
  <c r="H240" i="1"/>
  <c r="H222" i="1"/>
  <c r="H204" i="1"/>
  <c r="G234" i="1"/>
  <c r="F234" i="1"/>
  <c r="G216" i="1"/>
  <c r="L245" i="1"/>
  <c r="G245" i="1"/>
  <c r="F245" i="1"/>
  <c r="I243" i="1"/>
  <c r="K240" i="1"/>
  <c r="L239" i="1"/>
  <c r="H238" i="1"/>
  <c r="H218" i="1"/>
  <c r="K234" i="1"/>
  <c r="H234" i="1"/>
  <c r="G233" i="1"/>
  <c r="F233" i="1"/>
  <c r="F247" i="1" s="1"/>
  <c r="G227" i="1"/>
  <c r="F227" i="1"/>
  <c r="I225" i="1"/>
  <c r="J221" i="1"/>
  <c r="H221" i="1"/>
  <c r="H229" i="1" s="1"/>
  <c r="G221" i="1"/>
  <c r="F221" i="1"/>
  <c r="H220" i="1"/>
  <c r="H216" i="1"/>
  <c r="F216" i="1"/>
  <c r="G215" i="1"/>
  <c r="F215" i="1"/>
  <c r="G209" i="1"/>
  <c r="F209" i="1"/>
  <c r="L203" i="1"/>
  <c r="F203" i="1"/>
  <c r="H202" i="1"/>
  <c r="H236" i="1"/>
  <c r="H198" i="1"/>
  <c r="G198" i="1"/>
  <c r="C18" i="12" s="1"/>
  <c r="H241" i="1"/>
  <c r="K235" i="1"/>
  <c r="L235" i="1"/>
  <c r="C111" i="2" s="1"/>
  <c r="H215" i="1"/>
  <c r="L223" i="1"/>
  <c r="K218" i="1"/>
  <c r="H197" i="1"/>
  <c r="K205" i="1"/>
  <c r="H205" i="1"/>
  <c r="E27" i="2"/>
  <c r="H584" i="1"/>
  <c r="H582" i="1"/>
  <c r="J595" i="1"/>
  <c r="J593" i="1"/>
  <c r="G611" i="1"/>
  <c r="G613" i="1"/>
  <c r="F613" i="1"/>
  <c r="F110" i="1"/>
  <c r="F111" i="1" s="1"/>
  <c r="F83" i="1"/>
  <c r="F68" i="1"/>
  <c r="E48" i="2"/>
  <c r="J469" i="1"/>
  <c r="J470" i="1" s="1"/>
  <c r="J476" i="1" s="1"/>
  <c r="H626" i="1" s="1"/>
  <c r="F443" i="1"/>
  <c r="F441" i="1"/>
  <c r="F439" i="1"/>
  <c r="F459" i="1"/>
  <c r="H392" i="1"/>
  <c r="F454" i="1"/>
  <c r="F448" i="1"/>
  <c r="F452" i="1" s="1"/>
  <c r="G392" i="1"/>
  <c r="G360" i="1"/>
  <c r="G359" i="1"/>
  <c r="G358" i="1"/>
  <c r="H360" i="1"/>
  <c r="H359" i="1"/>
  <c r="H358" i="1"/>
  <c r="G158" i="1"/>
  <c r="G162" i="1" s="1"/>
  <c r="G169" i="1" s="1"/>
  <c r="G110" i="1"/>
  <c r="G12" i="1"/>
  <c r="C45" i="2"/>
  <c r="G51" i="1"/>
  <c r="G623" i="1" s="1"/>
  <c r="F51" i="1"/>
  <c r="G622" i="1" s="1"/>
  <c r="C37" i="10"/>
  <c r="F40" i="2"/>
  <c r="D39" i="2"/>
  <c r="G655" i="1"/>
  <c r="F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F5" i="13"/>
  <c r="G5" i="13"/>
  <c r="L199" i="1"/>
  <c r="L200" i="1"/>
  <c r="L216" i="1"/>
  <c r="L217" i="1"/>
  <c r="L218" i="1"/>
  <c r="L233" i="1"/>
  <c r="L234" i="1"/>
  <c r="L236" i="1"/>
  <c r="F6" i="13"/>
  <c r="G6" i="13"/>
  <c r="L202" i="1"/>
  <c r="L220" i="1"/>
  <c r="L238" i="1"/>
  <c r="F7" i="13"/>
  <c r="G7" i="13"/>
  <c r="F12" i="13"/>
  <c r="G12" i="13"/>
  <c r="L205" i="1"/>
  <c r="F14" i="13"/>
  <c r="G14" i="13"/>
  <c r="L207" i="1"/>
  <c r="L225" i="1"/>
  <c r="L243" i="1"/>
  <c r="F15" i="13"/>
  <c r="G15" i="13"/>
  <c r="L287" i="1"/>
  <c r="L226" i="1"/>
  <c r="L244" i="1"/>
  <c r="G651" i="1" s="1"/>
  <c r="H662" i="1"/>
  <c r="F17" i="13"/>
  <c r="D17" i="13" s="1"/>
  <c r="G17" i="13"/>
  <c r="L251" i="1"/>
  <c r="F18" i="13"/>
  <c r="G18" i="13"/>
  <c r="L252" i="1"/>
  <c r="F19" i="13"/>
  <c r="G19" i="13"/>
  <c r="L253" i="1"/>
  <c r="F29" i="13"/>
  <c r="G29" i="13"/>
  <c r="L358" i="1"/>
  <c r="L362" i="1" s="1"/>
  <c r="G635" i="1" s="1"/>
  <c r="L359" i="1"/>
  <c r="L360" i="1"/>
  <c r="I367" i="1"/>
  <c r="D29" i="13" s="1"/>
  <c r="C29" i="13" s="1"/>
  <c r="J290" i="1"/>
  <c r="J309" i="1"/>
  <c r="J328" i="1"/>
  <c r="K290" i="1"/>
  <c r="K309" i="1"/>
  <c r="G31" i="13" s="1"/>
  <c r="K328" i="1"/>
  <c r="L276" i="1"/>
  <c r="L277" i="1"/>
  <c r="L278" i="1"/>
  <c r="L279" i="1"/>
  <c r="L282" i="1"/>
  <c r="L283" i="1"/>
  <c r="L285" i="1"/>
  <c r="L286" i="1"/>
  <c r="L288" i="1"/>
  <c r="L295" i="1"/>
  <c r="L296" i="1"/>
  <c r="L297" i="1"/>
  <c r="L298" i="1"/>
  <c r="L300" i="1"/>
  <c r="L301" i="1"/>
  <c r="L302" i="1"/>
  <c r="L303" i="1"/>
  <c r="L304" i="1"/>
  <c r="E122" i="2" s="1"/>
  <c r="L305" i="1"/>
  <c r="L306" i="1"/>
  <c r="L307" i="1"/>
  <c r="L314" i="1"/>
  <c r="L316" i="1"/>
  <c r="L317" i="1"/>
  <c r="L319" i="1"/>
  <c r="L320" i="1"/>
  <c r="L321" i="1"/>
  <c r="L322" i="1"/>
  <c r="L323" i="1"/>
  <c r="L324" i="1"/>
  <c r="L325" i="1"/>
  <c r="E124" i="2" s="1"/>
  <c r="L326" i="1"/>
  <c r="L333" i="1"/>
  <c r="E114" i="2" s="1"/>
  <c r="L334" i="1"/>
  <c r="L335" i="1"/>
  <c r="L260" i="1"/>
  <c r="C131" i="2"/>
  <c r="L261" i="1"/>
  <c r="C25" i="10"/>
  <c r="L341" i="1"/>
  <c r="E131" i="2"/>
  <c r="L342" i="1"/>
  <c r="E132" i="2" s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13" i="12"/>
  <c r="C13" i="12"/>
  <c r="B18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/>
  <c r="L612" i="1"/>
  <c r="G663" i="1" s="1"/>
  <c r="L611" i="1"/>
  <c r="F663" i="1"/>
  <c r="C40" i="10"/>
  <c r="F60" i="1"/>
  <c r="G60" i="1"/>
  <c r="H60" i="1"/>
  <c r="I60" i="1"/>
  <c r="I112" i="1" s="1"/>
  <c r="F79" i="1"/>
  <c r="C57" i="2" s="1"/>
  <c r="C62" i="2" s="1"/>
  <c r="C63" i="2" s="1"/>
  <c r="F94" i="1"/>
  <c r="G111" i="1"/>
  <c r="G112" i="1"/>
  <c r="G193" i="1" s="1"/>
  <c r="G628" i="1" s="1"/>
  <c r="H79" i="1"/>
  <c r="E57" i="2"/>
  <c r="E62" i="2" s="1"/>
  <c r="H94" i="1"/>
  <c r="E58" i="2" s="1"/>
  <c r="H111" i="1"/>
  <c r="I111" i="1"/>
  <c r="J111" i="1"/>
  <c r="J112" i="1"/>
  <c r="F121" i="1"/>
  <c r="F140" i="1" s="1"/>
  <c r="F136" i="1"/>
  <c r="G121" i="1"/>
  <c r="G136" i="1"/>
  <c r="H121" i="1"/>
  <c r="H136" i="1"/>
  <c r="I121" i="1"/>
  <c r="I136" i="1"/>
  <c r="I140" i="1" s="1"/>
  <c r="J121" i="1"/>
  <c r="J140" i="1" s="1"/>
  <c r="J136" i="1"/>
  <c r="F147" i="1"/>
  <c r="C85" i="2" s="1"/>
  <c r="F162" i="1"/>
  <c r="G147" i="1"/>
  <c r="H147" i="1"/>
  <c r="E85" i="2"/>
  <c r="H162" i="1"/>
  <c r="I147" i="1"/>
  <c r="I162" i="1"/>
  <c r="L250" i="1"/>
  <c r="C113" i="2"/>
  <c r="L332" i="1"/>
  <c r="L254" i="1"/>
  <c r="L268" i="1"/>
  <c r="C142" i="2" s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/>
  <c r="F552" i="1" s="1"/>
  <c r="L522" i="1"/>
  <c r="F550" i="1" s="1"/>
  <c r="L523" i="1"/>
  <c r="F551" i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/>
  <c r="L536" i="1"/>
  <c r="I549" i="1" s="1"/>
  <c r="L537" i="1"/>
  <c r="I550" i="1"/>
  <c r="L538" i="1"/>
  <c r="I551" i="1" s="1"/>
  <c r="L541" i="1"/>
  <c r="J549" i="1"/>
  <c r="L542" i="1"/>
  <c r="L543" i="1"/>
  <c r="J551" i="1"/>
  <c r="K270" i="1"/>
  <c r="J270" i="1"/>
  <c r="I270" i="1"/>
  <c r="L270" i="1" s="1"/>
  <c r="H270" i="1"/>
  <c r="G270" i="1"/>
  <c r="F270" i="1"/>
  <c r="C132" i="2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C18" i="2" s="1"/>
  <c r="D17" i="2"/>
  <c r="E17" i="2"/>
  <c r="F17" i="2"/>
  <c r="I445" i="1"/>
  <c r="J18" i="1"/>
  <c r="G17" i="2" s="1"/>
  <c r="C21" i="2"/>
  <c r="D21" i="2"/>
  <c r="E21" i="2"/>
  <c r="F21" i="2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D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F50" i="2" s="1"/>
  <c r="C35" i="2"/>
  <c r="D35" i="2"/>
  <c r="E35" i="2"/>
  <c r="F35" i="2"/>
  <c r="I454" i="1"/>
  <c r="J49" i="1" s="1"/>
  <c r="G48" i="2" s="1"/>
  <c r="I456" i="1"/>
  <c r="J43" i="1"/>
  <c r="I457" i="1"/>
  <c r="J37" i="1" s="1"/>
  <c r="I459" i="1"/>
  <c r="J48" i="1"/>
  <c r="G47" i="2" s="1"/>
  <c r="C49" i="2"/>
  <c r="D56" i="2"/>
  <c r="E56" i="2"/>
  <c r="F56" i="2"/>
  <c r="F63" i="2" s="1"/>
  <c r="C58" i="2"/>
  <c r="C59" i="2"/>
  <c r="D59" i="2"/>
  <c r="E59" i="2"/>
  <c r="F59" i="2"/>
  <c r="F62" i="2" s="1"/>
  <c r="D60" i="2"/>
  <c r="D62" i="2" s="1"/>
  <c r="C61" i="2"/>
  <c r="D61" i="2"/>
  <c r="E61" i="2"/>
  <c r="F61" i="2"/>
  <c r="C66" i="2"/>
  <c r="C67" i="2"/>
  <c r="C69" i="2"/>
  <c r="C70" i="2" s="1"/>
  <c r="D69" i="2"/>
  <c r="D70" i="2" s="1"/>
  <c r="E69" i="2"/>
  <c r="E70" i="2"/>
  <c r="F69" i="2"/>
  <c r="F70" i="2" s="1"/>
  <c r="G69" i="2"/>
  <c r="G70" i="2"/>
  <c r="C72" i="2"/>
  <c r="C78" i="2" s="1"/>
  <c r="C81" i="2" s="1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/>
  <c r="D79" i="2"/>
  <c r="E77" i="2"/>
  <c r="F77" i="2"/>
  <c r="G77" i="2"/>
  <c r="G78" i="2" s="1"/>
  <c r="G81" i="2" s="1"/>
  <c r="C79" i="2"/>
  <c r="E79" i="2"/>
  <c r="C80" i="2"/>
  <c r="E80" i="2"/>
  <c r="D85" i="2"/>
  <c r="F85" i="2"/>
  <c r="C87" i="2"/>
  <c r="E87" i="2"/>
  <c r="F87" i="2"/>
  <c r="C88" i="2"/>
  <c r="E88" i="2"/>
  <c r="F88" i="2"/>
  <c r="C89" i="2"/>
  <c r="D89" i="2"/>
  <c r="E89" i="2"/>
  <c r="F89" i="2"/>
  <c r="C90" i="2"/>
  <c r="C93" i="2"/>
  <c r="F93" i="2"/>
  <c r="C94" i="2"/>
  <c r="F94" i="2"/>
  <c r="D96" i="2"/>
  <c r="D103" i="2" s="1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3" i="2"/>
  <c r="D115" i="2"/>
  <c r="F115" i="2"/>
  <c r="G115" i="2"/>
  <c r="F128" i="2"/>
  <c r="G128" i="2"/>
  <c r="E130" i="2"/>
  <c r="D134" i="2"/>
  <c r="D144" i="2"/>
  <c r="F134" i="2"/>
  <c r="K419" i="1"/>
  <c r="K427" i="1"/>
  <c r="K433" i="1"/>
  <c r="L263" i="1"/>
  <c r="C135" i="2" s="1"/>
  <c r="E135" i="2"/>
  <c r="L264" i="1"/>
  <c r="C136" i="2" s="1"/>
  <c r="L265" i="1"/>
  <c r="C137" i="2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 s="1"/>
  <c r="H500" i="1"/>
  <c r="D161" i="2" s="1"/>
  <c r="I500" i="1"/>
  <c r="E161" i="2" s="1"/>
  <c r="J500" i="1"/>
  <c r="F161" i="2"/>
  <c r="B162" i="2"/>
  <c r="G162" i="2" s="1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/>
  <c r="I503" i="1"/>
  <c r="E164" i="2" s="1"/>
  <c r="J503" i="1"/>
  <c r="F164" i="2" s="1"/>
  <c r="F19" i="1"/>
  <c r="G617" i="1" s="1"/>
  <c r="G19" i="1"/>
  <c r="G618" i="1"/>
  <c r="H19" i="1"/>
  <c r="G619" i="1" s="1"/>
  <c r="I19" i="1"/>
  <c r="G620" i="1" s="1"/>
  <c r="F32" i="1"/>
  <c r="G32" i="1"/>
  <c r="H32" i="1"/>
  <c r="I32" i="1"/>
  <c r="I52" i="1" s="1"/>
  <c r="H620" i="1" s="1"/>
  <c r="H51" i="1"/>
  <c r="G624" i="1" s="1"/>
  <c r="I51" i="1"/>
  <c r="F177" i="1"/>
  <c r="F192" i="1" s="1"/>
  <c r="I177" i="1"/>
  <c r="F183" i="1"/>
  <c r="G183" i="1"/>
  <c r="G192" i="1" s="1"/>
  <c r="H183" i="1"/>
  <c r="I183" i="1"/>
  <c r="I192" i="1" s="1"/>
  <c r="J183" i="1"/>
  <c r="F188" i="1"/>
  <c r="G188" i="1"/>
  <c r="H188" i="1"/>
  <c r="H192" i="1" s="1"/>
  <c r="I188" i="1"/>
  <c r="F211" i="1"/>
  <c r="G211" i="1"/>
  <c r="J211" i="1"/>
  <c r="K211" i="1"/>
  <c r="F229" i="1"/>
  <c r="G229" i="1"/>
  <c r="I229" i="1"/>
  <c r="J229" i="1"/>
  <c r="K229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I290" i="1"/>
  <c r="F309" i="1"/>
  <c r="G309" i="1"/>
  <c r="H309" i="1"/>
  <c r="I309" i="1"/>
  <c r="F328" i="1"/>
  <c r="G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L413" i="1"/>
  <c r="L414" i="1"/>
  <c r="L419" i="1" s="1"/>
  <c r="L415" i="1"/>
  <c r="L416" i="1"/>
  <c r="L417" i="1"/>
  <c r="L418" i="1"/>
  <c r="F419" i="1"/>
  <c r="G419" i="1"/>
  <c r="G434" i="1" s="1"/>
  <c r="H419" i="1"/>
  <c r="I419" i="1"/>
  <c r="I434" i="1" s="1"/>
  <c r="J419" i="1"/>
  <c r="L421" i="1"/>
  <c r="L422" i="1"/>
  <c r="L423" i="1"/>
  <c r="L424" i="1"/>
  <c r="L425" i="1"/>
  <c r="L426" i="1"/>
  <c r="F427" i="1"/>
  <c r="G427" i="1"/>
  <c r="H427" i="1"/>
  <c r="I427" i="1"/>
  <c r="J427" i="1"/>
  <c r="J434" i="1" s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G452" i="1"/>
  <c r="G461" i="1" s="1"/>
  <c r="H640" i="1" s="1"/>
  <c r="H452" i="1"/>
  <c r="H461" i="1"/>
  <c r="H641" i="1" s="1"/>
  <c r="F460" i="1"/>
  <c r="G460" i="1"/>
  <c r="H460" i="1"/>
  <c r="F470" i="1"/>
  <c r="G470" i="1"/>
  <c r="G476" i="1" s="1"/>
  <c r="H623" i="1" s="1"/>
  <c r="H470" i="1"/>
  <c r="I470" i="1"/>
  <c r="F474" i="1"/>
  <c r="G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G571" i="1" s="1"/>
  <c r="H570" i="1"/>
  <c r="H571" i="1" s="1"/>
  <c r="I570" i="1"/>
  <c r="J570" i="1"/>
  <c r="J571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G644" i="1"/>
  <c r="G650" i="1"/>
  <c r="J650" i="1" s="1"/>
  <c r="G652" i="1"/>
  <c r="J652" i="1" s="1"/>
  <c r="H652" i="1"/>
  <c r="G653" i="1"/>
  <c r="H653" i="1"/>
  <c r="G654" i="1"/>
  <c r="H654" i="1"/>
  <c r="H655" i="1"/>
  <c r="C26" i="10"/>
  <c r="C17" i="13"/>
  <c r="G62" i="2"/>
  <c r="E78" i="2"/>
  <c r="E81" i="2" s="1"/>
  <c r="L427" i="1"/>
  <c r="I169" i="1"/>
  <c r="F169" i="1"/>
  <c r="I552" i="1"/>
  <c r="H140" i="1"/>
  <c r="L560" i="1"/>
  <c r="L565" i="1"/>
  <c r="C130" i="2"/>
  <c r="D19" i="13"/>
  <c r="C19" i="13" s="1"/>
  <c r="D18" i="13"/>
  <c r="C18" i="13"/>
  <c r="C122" i="2"/>
  <c r="E13" i="13"/>
  <c r="C13" i="13" s="1"/>
  <c r="J641" i="1"/>
  <c r="E103" i="2"/>
  <c r="C35" i="10"/>
  <c r="F661" i="1"/>
  <c r="J655" i="1"/>
  <c r="K503" i="1"/>
  <c r="L614" i="1"/>
  <c r="C56" i="2"/>
  <c r="G661" i="1"/>
  <c r="H661" i="1"/>
  <c r="D127" i="2"/>
  <c r="D128" i="2" s="1"/>
  <c r="D145" i="2" s="1"/>
  <c r="C23" i="10"/>
  <c r="G163" i="2"/>
  <c r="G160" i="2"/>
  <c r="C103" i="2"/>
  <c r="F91" i="2"/>
  <c r="E144" i="2"/>
  <c r="L407" i="1"/>
  <c r="C140" i="2" s="1"/>
  <c r="J654" i="1"/>
  <c r="J653" i="1"/>
  <c r="F434" i="1"/>
  <c r="G140" i="1"/>
  <c r="G63" i="2"/>
  <c r="G42" i="2"/>
  <c r="H434" i="1"/>
  <c r="I193" i="1"/>
  <c r="G630" i="1" s="1"/>
  <c r="J630" i="1" s="1"/>
  <c r="C27" i="10"/>
  <c r="J635" i="1"/>
  <c r="C38" i="10"/>
  <c r="C91" i="2" l="1"/>
  <c r="F112" i="1"/>
  <c r="F193" i="1" s="1"/>
  <c r="G627" i="1" s="1"/>
  <c r="J627" i="1" s="1"/>
  <c r="C31" i="2"/>
  <c r="I663" i="1"/>
  <c r="D14" i="13"/>
  <c r="C14" i="13" s="1"/>
  <c r="G257" i="1"/>
  <c r="G271" i="1" s="1"/>
  <c r="C12" i="10"/>
  <c r="E16" i="13"/>
  <c r="C16" i="13" s="1"/>
  <c r="C125" i="2"/>
  <c r="J257" i="1"/>
  <c r="J271" i="1" s="1"/>
  <c r="L247" i="1"/>
  <c r="C50" i="2"/>
  <c r="E125" i="2"/>
  <c r="J338" i="1"/>
  <c r="J352" i="1" s="1"/>
  <c r="E123" i="2"/>
  <c r="E120" i="2"/>
  <c r="I338" i="1"/>
  <c r="I352" i="1" s="1"/>
  <c r="E119" i="2"/>
  <c r="E118" i="2"/>
  <c r="F338" i="1"/>
  <c r="F352" i="1" s="1"/>
  <c r="C20" i="10"/>
  <c r="K338" i="1"/>
  <c r="K352" i="1" s="1"/>
  <c r="G338" i="1"/>
  <c r="G352" i="1" s="1"/>
  <c r="E91" i="2"/>
  <c r="H169" i="1"/>
  <c r="C39" i="10"/>
  <c r="H52" i="1"/>
  <c r="H619" i="1" s="1"/>
  <c r="J619" i="1" s="1"/>
  <c r="E50" i="2"/>
  <c r="E31" i="2"/>
  <c r="F52" i="1"/>
  <c r="H617" i="1" s="1"/>
  <c r="J617" i="1" s="1"/>
  <c r="F476" i="1"/>
  <c r="H622" i="1" s="1"/>
  <c r="J622" i="1" s="1"/>
  <c r="J628" i="1"/>
  <c r="D50" i="2"/>
  <c r="A31" i="12"/>
  <c r="A22" i="12"/>
  <c r="F545" i="1"/>
  <c r="L534" i="1"/>
  <c r="K545" i="1"/>
  <c r="I545" i="1"/>
  <c r="H552" i="1"/>
  <c r="G545" i="1"/>
  <c r="G552" i="1"/>
  <c r="H545" i="1"/>
  <c r="K549" i="1"/>
  <c r="L529" i="1"/>
  <c r="I661" i="1"/>
  <c r="G52" i="1"/>
  <c r="H618" i="1" s="1"/>
  <c r="J618" i="1" s="1"/>
  <c r="J623" i="1"/>
  <c r="D51" i="2"/>
  <c r="C9" i="12"/>
  <c r="L197" i="1"/>
  <c r="F257" i="1"/>
  <c r="F271" i="1" s="1"/>
  <c r="A13" i="12"/>
  <c r="L393" i="1"/>
  <c r="G408" i="1"/>
  <c r="H645" i="1" s="1"/>
  <c r="G103" i="2"/>
  <c r="G104" i="2" s="1"/>
  <c r="H476" i="1"/>
  <c r="H624" i="1" s="1"/>
  <c r="J624" i="1" s="1"/>
  <c r="J620" i="1"/>
  <c r="L408" i="1"/>
  <c r="C138" i="2"/>
  <c r="C141" i="2" s="1"/>
  <c r="L571" i="1"/>
  <c r="K500" i="1"/>
  <c r="G159" i="2"/>
  <c r="F461" i="1"/>
  <c r="H639" i="1" s="1"/>
  <c r="L328" i="1"/>
  <c r="E110" i="2"/>
  <c r="C104" i="2"/>
  <c r="F103" i="2"/>
  <c r="F104" i="2" s="1"/>
  <c r="J51" i="1"/>
  <c r="G36" i="2"/>
  <c r="G50" i="2" s="1"/>
  <c r="K551" i="1"/>
  <c r="L351" i="1"/>
  <c r="H25" i="13"/>
  <c r="C32" i="10"/>
  <c r="C121" i="2"/>
  <c r="D12" i="13"/>
  <c r="C12" i="13" s="1"/>
  <c r="I460" i="1"/>
  <c r="L524" i="1"/>
  <c r="L337" i="1"/>
  <c r="G145" i="2"/>
  <c r="E112" i="2"/>
  <c r="F31" i="2"/>
  <c r="F51" i="2" s="1"/>
  <c r="E18" i="2"/>
  <c r="H112" i="1"/>
  <c r="E8" i="13"/>
  <c r="D81" i="2"/>
  <c r="K605" i="1"/>
  <c r="G648" i="1" s="1"/>
  <c r="J545" i="1"/>
  <c r="K257" i="1"/>
  <c r="K271" i="1" s="1"/>
  <c r="K434" i="1"/>
  <c r="G134" i="2" s="1"/>
  <c r="G144" i="2" s="1"/>
  <c r="E63" i="2"/>
  <c r="F18" i="2"/>
  <c r="G33" i="13"/>
  <c r="C19" i="10"/>
  <c r="J639" i="1"/>
  <c r="D63" i="2"/>
  <c r="D104" i="2" s="1"/>
  <c r="G8" i="2"/>
  <c r="J550" i="1"/>
  <c r="J552" i="1" s="1"/>
  <c r="L544" i="1"/>
  <c r="C114" i="2"/>
  <c r="C24" i="10"/>
  <c r="F31" i="13"/>
  <c r="F33" i="13" s="1"/>
  <c r="K598" i="1"/>
  <c r="G647" i="1" s="1"/>
  <c r="L539" i="1"/>
  <c r="L433" i="1"/>
  <c r="L434" i="1" s="1"/>
  <c r="G638" i="1" s="1"/>
  <c r="J638" i="1" s="1"/>
  <c r="I408" i="1"/>
  <c r="J192" i="1"/>
  <c r="J193" i="1" s="1"/>
  <c r="G645" i="1"/>
  <c r="J645" i="1" s="1"/>
  <c r="G164" i="2"/>
  <c r="G161" i="2"/>
  <c r="G158" i="2"/>
  <c r="J14" i="1"/>
  <c r="G13" i="2" s="1"/>
  <c r="I446" i="1"/>
  <c r="G642" i="1" s="1"/>
  <c r="C29" i="10"/>
  <c r="F130" i="2"/>
  <c r="F144" i="2" s="1"/>
  <c r="F145" i="2" s="1"/>
  <c r="L382" i="1"/>
  <c r="G636" i="1" s="1"/>
  <c r="J636" i="1" s="1"/>
  <c r="C13" i="10"/>
  <c r="C112" i="2"/>
  <c r="J625" i="1"/>
  <c r="H408" i="1"/>
  <c r="H644" i="1" s="1"/>
  <c r="J644" i="1" s="1"/>
  <c r="G156" i="2"/>
  <c r="K550" i="1"/>
  <c r="A40" i="12"/>
  <c r="E109" i="2"/>
  <c r="L309" i="1"/>
  <c r="J651" i="1"/>
  <c r="L208" i="1"/>
  <c r="H211" i="1"/>
  <c r="H257" i="1" s="1"/>
  <c r="H271" i="1" s="1"/>
  <c r="I571" i="1"/>
  <c r="L256" i="1"/>
  <c r="D18" i="2"/>
  <c r="D6" i="13"/>
  <c r="C6" i="13" s="1"/>
  <c r="C123" i="2"/>
  <c r="C15" i="10"/>
  <c r="C17" i="10"/>
  <c r="I211" i="1"/>
  <c r="I257" i="1" s="1"/>
  <c r="I271" i="1" s="1"/>
  <c r="D88" i="2"/>
  <c r="D91" i="2" s="1"/>
  <c r="L284" i="1"/>
  <c r="E121" i="2" s="1"/>
  <c r="L221" i="1"/>
  <c r="C119" i="2" s="1"/>
  <c r="L215" i="1"/>
  <c r="C118" i="2"/>
  <c r="C120" i="2"/>
  <c r="H328" i="1"/>
  <c r="H338" i="1" s="1"/>
  <c r="H352" i="1" s="1"/>
  <c r="I369" i="1"/>
  <c r="H634" i="1" s="1"/>
  <c r="J634" i="1" s="1"/>
  <c r="I448" i="1"/>
  <c r="L198" i="1"/>
  <c r="C51" i="2" l="1"/>
  <c r="C10" i="10"/>
  <c r="H660" i="1"/>
  <c r="H664" i="1" s="1"/>
  <c r="H667" i="1" s="1"/>
  <c r="H648" i="1"/>
  <c r="J648" i="1" s="1"/>
  <c r="E128" i="2"/>
  <c r="L290" i="1"/>
  <c r="L338" i="1" s="1"/>
  <c r="L352" i="1" s="1"/>
  <c r="G633" i="1" s="1"/>
  <c r="J633" i="1" s="1"/>
  <c r="E104" i="2"/>
  <c r="H193" i="1"/>
  <c r="G629" i="1" s="1"/>
  <c r="J629" i="1" s="1"/>
  <c r="E51" i="2"/>
  <c r="K552" i="1"/>
  <c r="G646" i="1"/>
  <c r="G631" i="1"/>
  <c r="J631" i="1" s="1"/>
  <c r="C11" i="10"/>
  <c r="C110" i="2"/>
  <c r="L211" i="1"/>
  <c r="C144" i="2"/>
  <c r="D5" i="13"/>
  <c r="E115" i="2"/>
  <c r="J19" i="1"/>
  <c r="G621" i="1" s="1"/>
  <c r="L545" i="1"/>
  <c r="G18" i="2"/>
  <c r="E33" i="13"/>
  <c r="D35" i="13" s="1"/>
  <c r="C8" i="13"/>
  <c r="G626" i="1"/>
  <c r="J626" i="1" s="1"/>
  <c r="D7" i="13"/>
  <c r="C7" i="13" s="1"/>
  <c r="L229" i="1"/>
  <c r="G660" i="1" s="1"/>
  <c r="G664" i="1" s="1"/>
  <c r="C124" i="2"/>
  <c r="C128" i="2" s="1"/>
  <c r="F662" i="1"/>
  <c r="I662" i="1" s="1"/>
  <c r="G649" i="1"/>
  <c r="J649" i="1" s="1"/>
  <c r="C21" i="10"/>
  <c r="D15" i="13"/>
  <c r="C15" i="13" s="1"/>
  <c r="H647" i="1"/>
  <c r="J647" i="1" s="1"/>
  <c r="G637" i="1"/>
  <c r="J637" i="1" s="1"/>
  <c r="H646" i="1"/>
  <c r="J642" i="1"/>
  <c r="J22" i="1"/>
  <c r="I452" i="1"/>
  <c r="I461" i="1" s="1"/>
  <c r="H642" i="1" s="1"/>
  <c r="C109" i="2"/>
  <c r="C115" i="2" s="1"/>
  <c r="C25" i="13"/>
  <c r="H33" i="13"/>
  <c r="C18" i="10"/>
  <c r="C36" i="10"/>
  <c r="C16" i="10"/>
  <c r="H672" i="1" l="1"/>
  <c r="C6" i="10" s="1"/>
  <c r="E145" i="2"/>
  <c r="D31" i="13"/>
  <c r="C31" i="13" s="1"/>
  <c r="C28" i="10"/>
  <c r="D11" i="10" s="1"/>
  <c r="G672" i="1"/>
  <c r="C5" i="10" s="1"/>
  <c r="G667" i="1"/>
  <c r="F660" i="1"/>
  <c r="L257" i="1"/>
  <c r="L271" i="1" s="1"/>
  <c r="G632" i="1" s="1"/>
  <c r="J632" i="1" s="1"/>
  <c r="C145" i="2"/>
  <c r="J646" i="1"/>
  <c r="J32" i="1"/>
  <c r="J52" i="1" s="1"/>
  <c r="H621" i="1" s="1"/>
  <c r="J621" i="1" s="1"/>
  <c r="G21" i="2"/>
  <c r="G31" i="2" s="1"/>
  <c r="G51" i="2" s="1"/>
  <c r="C41" i="10"/>
  <c r="C5" i="13"/>
  <c r="D33" i="13" l="1"/>
  <c r="D36" i="13" s="1"/>
  <c r="C30" i="10"/>
  <c r="D25" i="10"/>
  <c r="D22" i="10"/>
  <c r="D27" i="10"/>
  <c r="D20" i="10"/>
  <c r="D23" i="10"/>
  <c r="D26" i="10"/>
  <c r="D12" i="10"/>
  <c r="D17" i="10"/>
  <c r="D13" i="10"/>
  <c r="D19" i="10"/>
  <c r="D24" i="10"/>
  <c r="D15" i="10"/>
  <c r="D10" i="10"/>
  <c r="D35" i="10"/>
  <c r="D40" i="10"/>
  <c r="D37" i="10"/>
  <c r="D39" i="10"/>
  <c r="D38" i="10"/>
  <c r="D18" i="10"/>
  <c r="D36" i="10"/>
  <c r="D21" i="10"/>
  <c r="D16" i="10"/>
  <c r="F664" i="1"/>
  <c r="I660" i="1"/>
  <c r="I664" i="1" s="1"/>
  <c r="H656" i="1"/>
  <c r="D28" i="10" l="1"/>
  <c r="I672" i="1"/>
  <c r="C7" i="10" s="1"/>
  <c r="I667" i="1"/>
  <c r="F672" i="1"/>
  <c r="C4" i="10" s="1"/>
  <c r="F667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<sst xmlns="http://schemas.openxmlformats.org/spreadsheetml/2006/main" count="3957" uniqueCount="915">
  <si>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</si>
  <si>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</si>
  <si>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</si>
  <si>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</si>
  <si>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</si>
  <si>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</si>
  <si>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</si>
  <si>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</si>
  <si>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</si>
  <si>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</si>
  <si>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</si>
  <si>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</si>
  <si>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</si>
  <si>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</si>
  <si>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</si>
  <si>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</si>
  <si>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</si>
  <si>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</si>
  <si>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</si>
  <si>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</si>
  <si>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</si>
  <si>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</si>
  <si>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</si>
  <si>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</si>
  <si>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</si>
  <si>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</si>
  <si>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</si>
  <si>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</si>
  <si>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</si>
  <si>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</si>
  <si>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</si>
  <si>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</si>
  <si>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</si>
  <si>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</si>
  <si>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</si>
  <si>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</si>
  <si>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</si>
  <si>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</si>
  <si>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</si>
  <si>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</si>
  <si>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</si>
  <si>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</si>
  <si>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</si>
  <si>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</si>
  <si>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</si>
  <si>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</si>
  <si>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</si>
  <si>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</si>
  <si>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</si>
  <si>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</si>
  <si>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</si>
  <si>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</si>
  <si>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</si>
  <si>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</si>
  <si>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</si>
  <si>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</si>
  <si>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</si>
  <si>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</si>
  <si>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</si>
  <si>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</si>
  <si>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</si>
  <si>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</si>
  <si>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</si>
  <si>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</si>
  <si>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</si>
  <si>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</si>
  <si>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</si>
  <si>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</si>
  <si>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</si>
  <si>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</si>
  <si>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</si>
  <si>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</si>
  <si>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</si>
  <si>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</si>
  <si>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</si>
  <si>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</si>
  <si>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</si>
  <si>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</si>
  <si>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</si>
  <si>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</si>
  <si>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</si>
  <si>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</si>
  <si>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</si>
  <si>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</si>
  <si>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</si>
  <si>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</si>
  <si>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</si>
  <si>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</si>
  <si>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</si>
  <si>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</si>
  <si>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</si>
  <si>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</si>
  <si>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</si>
  <si>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</si>
  <si>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</si>
  <si>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</si>
  <si>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</si>
  <si>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</si>
  <si>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</si>
  <si>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</si>
  <si>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</si>
  <si>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</si>
  <si>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</si>
  <si>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</si>
  <si>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</si>
  <si>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</si>
  <si>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</si>
  <si>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</si>
  <si>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</si>
  <si>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</si>
  <si>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</si>
  <si>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</si>
  <si>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</si>
  <si>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</si>
  <si>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</si>
  <si>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</si>
  <si>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</si>
  <si>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</si>
  <si>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</si>
  <si>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</si>
  <si>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</si>
  <si>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</si>
  <si>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</si>
  <si>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</si>
  <si>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</si>
  <si>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</si>
  <si>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</si>
  <si>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</si>
  <si>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</si>
  <si>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</si>
  <si>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</si>
  <si>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</si>
  <si>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</si>
  <si>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</si>
  <si>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</si>
  <si>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</si>
  <si>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</si>
  <si>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</si>
  <si>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</si>
  <si>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</si>
  <si>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</si>
  <si>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</si>
  <si>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</si>
  <si>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</si>
  <si>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</si>
  <si>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</si>
  <si>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</si>
  <si>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</si>
  <si>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</si>
  <si>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</si>
  <si>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</si>
  <si>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</si>
  <si>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</si>
  <si>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</si>
  <si>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</si>
  <si>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</si>
  <si>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</si>
  <si>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</si>
  <si>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</si>
  <si>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</si>
  <si>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</si>
  <si>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</si>
  <si>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</si>
  <si>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</si>
  <si>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</si>
  <si>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</si>
  <si>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</si>
  <si>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</si>
  <si>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</si>
  <si>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</si>
  <si>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</si>
  <si>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</si>
  <si>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</si>
  <si>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</si>
  <si>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</si>
  <si>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</si>
  <si>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</si>
  <si>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</si>
  <si>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</si>
  <si>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</si>
  <si>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</si>
  <si>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</si>
  <si>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</si>
  <si>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</si>
  <si>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</si>
  <si>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</si>
  <si>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</si>
  <si>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</si>
  <si>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</si>
  <si>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</si>
  <si>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</si>
  <si>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</si>
  <si>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</si>
  <si>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</si>
  <si>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</si>
  <si>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</si>
  <si>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</si>
  <si>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</si>
  <si>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</si>
  <si>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</si>
  <si>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</si>
  <si>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</si>
  <si>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</si>
  <si>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</si>
  <si>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</si>
  <si>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</si>
  <si>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</si>
  <si>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</si>
  <si>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</si>
  <si>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</si>
  <si>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</si>
  <si>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</si>
  <si>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</si>
  <si>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</si>
  <si>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</si>
  <si>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</si>
  <si>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</si>
  <si>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</si>
  <si>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</si>
  <si>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</si>
  <si>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</si>
  <si>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</si>
  <si>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</si>
  <si>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</si>
  <si>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</si>
  <si>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</si>
  <si>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</si>
  <si>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</si>
  <si>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</si>
  <si>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</si>
  <si>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</si>
  <si>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</si>
  <si>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</si>
  <si>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</si>
  <si>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</si>
  <si>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</si>
  <si>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</si>
  <si>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</si>
  <si>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</si>
  <si>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</si>
  <si>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</si>
  <si>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</si>
  <si>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</si>
  <si>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</si>
  <si>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</si>
  <si>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</si>
  <si>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</si>
  <si>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</si>
  <si>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</si>
  <si>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</si>
  <si>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</si>
  <si>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</si>
  <si>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</si>
  <si>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</si>
  <si>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</si>
  <si>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</si>
  <si>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</si>
  <si>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</si>
  <si>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</si>
  <si>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</si>
  <si>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</si>
  <si>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</si>
  <si>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</si>
  <si>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</si>
  <si>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</si>
  <si>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</si>
  <si>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</si>
  <si>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</si>
  <si>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</si>
  <si>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</si>
  <si>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</si>
  <si>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</si>
  <si>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</si>
  <si>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</si>
  <si>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</si>
  <si>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</si>
  <si>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</si>
  <si>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</si>
  <si>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</si>
  <si>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</si>
  <si>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</si>
  <si>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</si>
  <si>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</si>
  <si>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</si>
  <si>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</si>
  <si>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</si>
  <si>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</si>
  <si>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</si>
  <si>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</si>
  <si>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</si>
  <si>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</si>
  <si>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</si>
  <si>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</si>
  <si>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</si>
  <si>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</si>
  <si>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</si>
  <si>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</si>
  <si>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</si>
  <si>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</si>
  <si>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</si>
  <si>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</si>
  <si>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</si>
  <si>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</si>
  <si>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</si>
  <si>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</si>
  <si>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</si>
  <si>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</si>
  <si>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</si>
  <si>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</si>
  <si>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</si>
  <si>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</si>
  <si>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</si>
  <si>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</si>
  <si>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</si>
  <si>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</si>
  <si>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</si>
  <si>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</si>
  <si>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</si>
  <si>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</si>
  <si>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</si>
  <si>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</si>
  <si>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</si>
  <si>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</si>
  <si>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</si>
  <si>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</si>
  <si>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</si>
  <si>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</si>
  <si>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</si>
  <si>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</si>
  <si>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</si>
  <si>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</si>
  <si>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</si>
  <si>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</si>
  <si>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</si>
  <si>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</si>
  <si>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</si>
  <si>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</si>
  <si>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</si>
  <si>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</si>
  <si>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</si>
  <si>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</si>
  <si>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</si>
  <si>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</si>
  <si>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</si>
  <si>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</si>
  <si>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</si>
  <si>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</si>
  <si>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</si>
  <si>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</si>
  <si>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</si>
  <si>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</si>
  <si>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</si>
  <si>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</si>
  <si>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</si>
  <si>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</si>
  <si>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</si>
  <si>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</si>
  <si>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</si>
  <si>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</si>
  <si>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</si>
  <si>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</si>
  <si>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</si>
  <si>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</si>
  <si>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</si>
  <si>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</si>
  <si>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</si>
  <si>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</si>
  <si>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</si>
  <si>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</si>
  <si>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</si>
  <si>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</si>
  <si>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</si>
  <si>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</si>
  <si>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</si>
  <si>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</si>
  <si>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</si>
  <si>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</si>
  <si>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</si>
  <si>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</si>
  <si>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</si>
  <si>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</si>
  <si>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</si>
  <si>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</si>
  <si>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</si>
  <si>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</si>
  <si>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</si>
  <si>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</si>
  <si>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</si>
  <si>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</si>
  <si>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</si>
  <si>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</si>
  <si>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</si>
  <si>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</si>
  <si>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</si>
  <si>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</si>
  <si>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</si>
  <si>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</si>
  <si>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</si>
  <si>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</si>
  <si>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</si>
  <si>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</si>
  <si>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</si>
  <si>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</si>
  <si>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</si>
  <si>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</si>
  <si>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</si>
  <si>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</si>
  <si>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</si>
  <si>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</si>
  <si>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</si>
  <si>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</si>
  <si>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</si>
  <si>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</si>
  <si>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</si>
  <si>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</si>
  <si>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</si>
  <si>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</si>
  <si>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</si>
  <si>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</si>
  <si>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</si>
  <si>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</si>
  <si>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</si>
  <si>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</si>
  <si>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</si>
  <si>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</si>
  <si>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</si>
  <si>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</si>
  <si>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</si>
  <si>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</si>
  <si>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</si>
  <si>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</si>
  <si>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</si>
  <si>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</si>
  <si>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</si>
  <si>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</si>
  <si>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</si>
  <si>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</si>
  <si>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</si>
  <si>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</si>
  <si>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</si>
  <si>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</si>
  <si>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</si>
  <si>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</si>
  <si>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</si>
  <si>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</si>
  <si>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</si>
  <si>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</si>
  <si>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</si>
  <si>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</si>
  <si>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</si>
  <si>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</si>
  <si>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</si>
  <si>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</si>
  <si>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</si>
  <si>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</si>
  <si>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</si>
  <si>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</si>
  <si>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</si>
  <si>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</si>
  <si>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</si>
  <si>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</si>
  <si>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</si>
  <si>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</si>
  <si>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</si>
  <si>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</si>
  <si>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</si>
  <si>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</si>
  <si>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</si>
  <si>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</si>
  <si>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</si>
  <si>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</si>
  <si>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</si>
  <si>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</si>
  <si>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</si>
  <si>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</si>
  <si>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</si>
  <si>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</si>
  <si>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</si>
  <si>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</si>
  <si>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</si>
  <si>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</si>
  <si>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</si>
  <si>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</si>
  <si>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</si>
  <si>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</si>
  <si>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</si>
  <si>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</si>
  <si>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</si>
  <si>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</si>
  <si>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</si>
  <si>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</si>
  <si>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</si>
  <si>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</si>
  <si>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</si>
  <si>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</si>
  <si>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</si>
  <si>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</si>
  <si>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</si>
  <si>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</si>
  <si>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</si>
  <si>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</si>
  <si>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</si>
  <si>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</si>
  <si>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</si>
  <si>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</si>
  <si>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</si>
  <si>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</si>
  <si>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</si>
  <si>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</si>
  <si>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</si>
  <si>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</si>
  <si>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</si>
  <si>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</si>
  <si>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</si>
  <si>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</si>
  <si>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</si>
  <si>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</si>
  <si>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</si>
  <si>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</si>
  <si>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</si>
  <si>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</si>
  <si>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</si>
  <si>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</si>
  <si>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</si>
  <si>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</si>
  <si>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</si>
  <si>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</si>
  <si>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</si>
  <si>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</si>
  <si>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</si>
  <si>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</si>
  <si>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</si>
  <si>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</si>
  <si>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</si>
  <si>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</si>
  <si>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</si>
  <si>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</si>
  <si>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</si>
  <si>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</si>
  <si>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</si>
  <si>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</si>
  <si>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</si>
  <si>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</si>
  <si>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</si>
  <si>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</si>
  <si>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</si>
  <si>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</si>
  <si>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</si>
  <si>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</si>
  <si>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</si>
  <si>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</si>
  <si>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</si>
  <si>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</si>
  <si>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</si>
  <si>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</si>
  <si>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</si>
  <si>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</si>
  <si>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</si>
  <si>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</si>
  <si>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</si>
  <si>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</si>
  <si>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</si>
  <si>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</si>
  <si>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</si>
  <si>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</si>
  <si>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</si>
  <si>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</si>
  <si>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</si>
  <si>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</si>
  <si>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</si>
  <si>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</si>
  <si>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</si>
  <si>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</si>
  <si>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</si>
  <si>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</si>
  <si>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</si>
  <si>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</si>
  <si>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</si>
  <si>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</si>
  <si>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</si>
  <si>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</si>
  <si>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</si>
  <si>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</si>
  <si>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</si>
  <si>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</si>
  <si>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</si>
  <si>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</si>
  <si>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</si>
  <si>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</si>
  <si>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</si>
  <si>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</si>
  <si>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</si>
  <si>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</si>
  <si>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</si>
  <si>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</si>
  <si>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</si>
  <si>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</si>
  <si>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</si>
  <si>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</si>
  <si>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</si>
  <si>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</si>
  <si>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</si>
  <si>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</si>
  <si>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</si>
  <si>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</si>
  <si>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</si>
  <si>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</si>
  <si>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</si>
  <si>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</si>
  <si>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</si>
  <si>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</si>
  <si>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</si>
  <si>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</si>
  <si>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</si>
  <si>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</si>
  <si>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</si>
  <si>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</si>
  <si>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</si>
  <si>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</si>
  <si>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</si>
  <si>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</si>
  <si>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</si>
  <si>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</si>
  <si>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</si>
  <si>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</si>
  <si>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</si>
  <si>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</si>
  <si>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</si>
  <si>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</si>
  <si>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</si>
  <si>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</si>
  <si>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</si>
  <si>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</si>
  <si>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</si>
  <si>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</si>
  <si>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</si>
  <si>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</si>
  <si>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</si>
  <si>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</si>
  <si>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</si>
  <si>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</si>
  <si>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</si>
  <si>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</si>
  <si>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</si>
  <si>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</si>
  <si>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</si>
  <si>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</si>
  <si>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</si>
  <si>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</si>
  <si>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</si>
  <si>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</si>
  <si>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</si>
  <si>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</si>
  <si>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</si>
  <si>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</si>
  <si>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</si>
  <si>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</si>
  <si>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</si>
  <si>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</si>
  <si>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</si>
  <si>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</si>
  <si>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</si>
  <si>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</si>
  <si>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</si>
  <si>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</si>
  <si>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</si>
  <si>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</si>
  <si>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</si>
  <si>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</si>
  <si>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</si>
  <si>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</si>
  <si>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</si>
  <si>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</si>
  <si>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</si>
  <si>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</si>
  <si>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</si>
  <si>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</si>
  <si>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</si>
  <si>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</si>
  <si>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</si>
  <si>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</si>
  <si>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</si>
  <si>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</si>
  <si>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</si>
  <si>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</si>
  <si>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</si>
  <si>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</si>
  <si>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</si>
  <si>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</si>
  <si>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</si>
  <si>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</si>
  <si>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</si>
  <si>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</si>
  <si>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</si>
  <si>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</si>
  <si>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</si>
  <si>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</si>
  <si>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</si>
  <si>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</si>
  <si>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</si>
  <si>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</si>
  <si>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</si>
  <si>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</si>
  <si>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</si>
  <si>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</si>
  <si>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</si>
  <si>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</si>
  <si>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</si>
  <si>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</si>
  <si>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</si>
  <si>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</si>
  <si>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</si>
  <si>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</si>
  <si>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</si>
  <si>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</si>
  <si>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</si>
  <si>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</si>
  <si>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</si>
  <si>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</si>
  <si>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</si>
  <si>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</si>
  <si>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</si>
  <si>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</si>
  <si>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</si>
  <si>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</si>
  <si>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</si>
  <si>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</si>
  <si>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</si>
  <si>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</si>
  <si>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</si>
  <si>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</si>
  <si>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</si>
  <si>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</si>
  <si>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</si>
  <si>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</si>
  <si>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</si>
  <si>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</si>
  <si>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</si>
  <si>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</si>
  <si>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</si>
  <si>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</si>
  <si>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</si>
  <si>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</si>
  <si>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</si>
  <si>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</si>
  <si>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</si>
  <si>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</si>
  <si>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</si>
  <si>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</si>
  <si>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</si>
  <si>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</si>
  <si>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</si>
  <si>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</si>
  <si>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</si>
  <si>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</si>
  <si>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</si>
  <si>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</si>
  <si>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</si>
  <si>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</si>
  <si>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</si>
  <si>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</si>
  <si>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</si>
  <si>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</si>
  <si>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</si>
  <si>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</si>
  <si>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</si>
  <si>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</si>
  <si>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</si>
  <si>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</si>
  <si>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</si>
  <si>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</si>
  <si>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</si>
  <si>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</si>
  <si>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</si>
  <si>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</si>
  <si>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</si>
  <si>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</si>
  <si>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</si>
  <si>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</si>
  <si>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</si>
  <si>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</si>
  <si>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</si>
  <si>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</si>
  <si>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</si>
  <si>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</si>
  <si>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</si>
  <si>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</si>
  <si>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</si>
  <si>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</si>
  <si>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</si>
  <si>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</si>
  <si>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</si>
  <si>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</si>
  <si>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</si>
  <si>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</si>
  <si>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</si>
  <si>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</si>
  <si>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</si>
  <si>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</si>
  <si>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</si>
  <si>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</si>
  <si>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</si>
  <si>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</si>
  <si>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</si>
  <si>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</si>
  <si>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</si>
  <si>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</si>
  <si>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</si>
  <si>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</si>
  <si>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</si>
  <si>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</si>
  <si>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</si>
  <si>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</si>
  <si>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</si>
  <si>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</si>
  <si>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</si>
  <si>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</si>
  <si>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</si>
  <si>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</si>
  <si>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</si>
  <si>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</si>
  <si>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</si>
  <si>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</si>
  <si>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</si>
  <si>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</si>
  <si>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</si>
  <si>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</si>
  <si>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</si>
  <si>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</si>
  <si>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</si>
  <si>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</si>
  <si>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</si>
  <si>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</si>
  <si>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</si>
  <si>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</si>
  <si>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</si>
  <si>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</si>
  <si>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</si>
  <si>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</si>
  <si>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</si>
  <si>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</si>
  <si>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</si>
  <si>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</si>
  <si>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</si>
  <si>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</si>
  <si>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</si>
  <si>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</si>
  <si>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</si>
  <si>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</si>
  <si>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</si>
  <si>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</si>
  <si>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</si>
  <si>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</si>
  <si>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</si>
  <si>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</si>
  <si>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</si>
  <si>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</si>
  <si>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</si>
  <si>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</si>
  <si>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</si>
  <si>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</si>
  <si>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</si>
  <si>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</si>
  <si>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</si>
  <si>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</si>
  <si>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</si>
  <si>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</si>
  <si>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</si>
  <si>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</si>
  <si>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</si>
  <si>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</si>
  <si>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</si>
  <si>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</si>
  <si>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</si>
  <si>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</si>
  <si>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</si>
  <si>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</si>
  <si>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</si>
  <si>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</si>
  <si>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</si>
  <si>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</si>
  <si>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</si>
  <si>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</si>
  <si>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</si>
  <si>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</si>
  <si>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</si>
  <si>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</si>
  <si>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</si>
  <si>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</si>
  <si>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</si>
  <si>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</si>
  <si>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</si>
  <si>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</si>
  <si>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</si>
  <si>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</si>
  <si>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</si>
  <si>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</si>
  <si>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</si>
  <si>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</si>
  <si>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</si>
  <si>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</si>
  <si>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</si>
  <si>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</si>
  <si>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</si>
  <si>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</si>
  <si>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</si>
  <si>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</si>
  <si>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</si>
  <si>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</si>
  <si>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</si>
  <si>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</si>
  <si>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Dover School District</t>
  </si>
  <si>
    <t>Ending balance of trust accounts was understated in the PY</t>
  </si>
  <si>
    <t>Ending balance of special revenue accounts was understated in the PY</t>
  </si>
  <si>
    <t>Adjustment to PY balance sheet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</si>
</sst>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911</v>
      </c>
      <c r="B2" s="21">
        <v>141</v>
      </c>
      <c r="C2" s="21">
        <v>141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f>143142.05+1824.25</f>
        <v>144966.29999999999</v>
      </c>
      <c r="H9" s="18"/>
      <c r="I9" s="18"/>
      <c r="J9" s="67">
        <f>SUM(I439)</f>
        <v>596208.79999999993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f>346049.39+587542.98</f>
        <v>933592.37</v>
      </c>
      <c r="H12" s="18">
        <f>754709.93-348012.1+330832.8-67566.66+195925.69-56286.2+362478.59-68787.46-6706.25+80580.34+617543.17-170891.43+170528.4+194423.39</f>
        <v>1988772.2100000004</v>
      </c>
      <c r="I12" s="18"/>
      <c r="J12" s="67">
        <f>SUM(I441)</f>
        <v>287685.69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48964.959999999999</v>
      </c>
      <c r="H13" s="18">
        <f>416183.28+115617.23+58326.48+221252.16+430754.2-64482.34</f>
        <v>1177651.01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532331.03+27241.28</f>
        <v>559572.31000000006</v>
      </c>
      <c r="G14" s="18">
        <v>32002.18</v>
      </c>
      <c r="H14" s="18">
        <f>1338.43+9636.7+24278.38-20483.14+7111.67</f>
        <v>21882.04</v>
      </c>
      <c r="I14" s="18"/>
      <c r="J14" s="67">
        <f>SUM(I443)</f>
        <v>244306.96999999997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6537.78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16017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f>2983886.15+490829.87+69564.34+316784.06</f>
        <v>3861064.42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4436653.7300000004</v>
      </c>
      <c r="G19" s="41">
        <f>SUM(G9:G18)</f>
        <v>1166063.5899999999</v>
      </c>
      <c r="H19" s="41">
        <f>SUM(H9:H18)</f>
        <v>3188305.2600000007</v>
      </c>
      <c r="I19" s="41">
        <f>SUM(I9:I18)</f>
        <v>0</v>
      </c>
      <c r="J19" s="41">
        <f>SUM(J9:J18)</f>
        <v>1128201.46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669220.25</v>
      </c>
      <c r="H22" s="18">
        <f>758004.07+331361.86+182217.3+463721.42+416316.65+361133.65+48063.32</f>
        <v>2560818.2699999996</v>
      </c>
      <c r="I22" s="18"/>
      <c r="J22" s="67">
        <f>SUM(I448)</f>
        <v>17217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188638.73</v>
      </c>
      <c r="G24" s="18">
        <v>240.59</v>
      </c>
      <c r="H24" s="18">
        <f>33.04+380+534.38+4412.11+5858.26+2187.85+3041.23</f>
        <v>16446.870000000003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2623524.4500000002</v>
      </c>
      <c r="G28" s="18">
        <v>19.36</v>
      </c>
      <c r="H28" s="18">
        <f>19776.17+4125.67+33312.47+17798.9+534.38-349.08+2760.63-2561.9+47821.48+77089.24+25231.07+39228.88+289.89</f>
        <v>265057.80000000005</v>
      </c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32207.32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69564.34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2881727.52</v>
      </c>
      <c r="G32" s="41">
        <f>SUM(G22:G31)</f>
        <v>701687.5199999999</v>
      </c>
      <c r="H32" s="41">
        <f>SUM(H22:H31)</f>
        <v>2842322.9399999995</v>
      </c>
      <c r="I32" s="41">
        <f>SUM(I22:I31)</f>
        <v>0</v>
      </c>
      <c r="J32" s="41">
        <f>SUM(J22:J31)</f>
        <v>17217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-6537.78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301409.5+46691.81+117987.77+1824.25+0.52</f>
        <v>467913.85000000003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908317.38+4708.21+4419.36</f>
        <v>917444.95</v>
      </c>
      <c r="G48" s="18"/>
      <c r="H48" s="18">
        <v>345982.32</v>
      </c>
      <c r="I48" s="18"/>
      <c r="J48" s="13">
        <f>SUM(I459)</f>
        <v>1050922.3599999999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637481.26</v>
      </c>
      <c r="G49" s="18">
        <v>3000</v>
      </c>
      <c r="H49" s="18"/>
      <c r="I49" s="18"/>
      <c r="J49" s="13">
        <f>I454</f>
        <v>60062.1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1554926.21</v>
      </c>
      <c r="G51" s="41">
        <f>SUM(G35:G50)</f>
        <v>464376.07</v>
      </c>
      <c r="H51" s="41">
        <f>SUM(H35:H50)</f>
        <v>345982.32</v>
      </c>
      <c r="I51" s="41">
        <f>SUM(I35:I50)</f>
        <v>0</v>
      </c>
      <c r="J51" s="41">
        <f>SUM(J35:J50)</f>
        <v>1110984.46</v>
      </c>
      <c r="K51" s="45" t="s">
        <v>289</v>
      </c>
      <c r="L51" s="45" t="s">
        <v>289</v>
      </c>
      <c r="N51" s="18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4436653.7300000004</v>
      </c>
      <c r="G52" s="41">
        <f>G51+G32</f>
        <v>1166063.5899999999</v>
      </c>
      <c r="H52" s="41">
        <f>H51+H32</f>
        <v>3188305.2599999993</v>
      </c>
      <c r="I52" s="41">
        <f>I51+I32</f>
        <v>0</v>
      </c>
      <c r="J52" s="41">
        <f>J51+J32</f>
        <v>1128201.46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27934161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27934161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4601.72+8800</f>
        <v>13401.720000000001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3881.25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99848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14796.95+2327561.61+1016324.98</f>
        <v>3358683.54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41387.21</v>
      </c>
      <c r="G69" s="24" t="s">
        <v>289</v>
      </c>
      <c r="H69" s="18">
        <v>192719.6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63234.82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40746.81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3521335.35</v>
      </c>
      <c r="G79" s="45" t="s">
        <v>289</v>
      </c>
      <c r="H79" s="41">
        <f>SUM(H63:H78)</f>
        <v>292567.59999999998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f>17349.6+33655.22+10296.41</f>
        <v>61301.229999999996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61301.229999999996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51.69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792968.51+0.52</f>
        <v>792969.03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18263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151653.97</v>
      </c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23345.15+5675</f>
        <v>29020.15</v>
      </c>
      <c r="G110" s="18">
        <f>1773.92+3480.96+0.01</f>
        <v>5254.89</v>
      </c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29020.15</v>
      </c>
      <c r="G111" s="41">
        <f>SUM(G96:G110)</f>
        <v>798223.92</v>
      </c>
      <c r="H111" s="41">
        <f>SUM(H96:H110)</f>
        <v>169916.97</v>
      </c>
      <c r="I111" s="41">
        <f>SUM(I96:I110)</f>
        <v>0</v>
      </c>
      <c r="J111" s="41">
        <f>SUM(J96:J110)</f>
        <v>51.69</v>
      </c>
      <c r="K111" s="45" t="s">
        <v>289</v>
      </c>
      <c r="L111" s="45" t="s">
        <v>289</v>
      </c>
      <c r="N111" s="18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31545817.73</v>
      </c>
      <c r="G112" s="41">
        <f>G60+G111</f>
        <v>798223.92</v>
      </c>
      <c r="H112" s="41">
        <f>H60+H79+H94+H111</f>
        <v>462484.56999999995</v>
      </c>
      <c r="I112" s="41">
        <f>I60+I111</f>
        <v>0</v>
      </c>
      <c r="J112" s="41">
        <f>J60+J111</f>
        <v>51.69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6535665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6533850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13069515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709049.94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151112.24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231618.73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8868.7999999999993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48111.3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20966.310000000001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1148761.01</v>
      </c>
      <c r="G136" s="41">
        <f>SUM(G123:G135)</f>
        <v>20966.310000000001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14218276.01</v>
      </c>
      <c r="G140" s="41">
        <f>G121+SUM(G136:G137)</f>
        <v>20966.310000000001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3181.1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3181.1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833428.87</f>
        <v>833428.87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304377.7</f>
        <v>304377.7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211638.49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650185.46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589994.55+45774.87+0.01</f>
        <v>635769.43000000005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799626.76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458164.33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21059.87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458164.33</v>
      </c>
      <c r="G162" s="41">
        <f>SUM(G150:G161)</f>
        <v>656829.30000000005</v>
      </c>
      <c r="H162" s="41">
        <f>SUM(H150:H161)</f>
        <v>2799257.2800000003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24107.72</v>
      </c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485453.15</v>
      </c>
      <c r="G169" s="41">
        <f>G147+G162+SUM(G163:G168)</f>
        <v>656829.30000000005</v>
      </c>
      <c r="H169" s="41">
        <f>H147+H162+SUM(H163:H168)</f>
        <v>2799257.2800000003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392700</v>
      </c>
      <c r="I179" s="18"/>
      <c r="J179" s="18">
        <v>100000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>
        <v>167866.07</v>
      </c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392700</v>
      </c>
      <c r="I183" s="41">
        <f>SUM(I179:I182)</f>
        <v>0</v>
      </c>
      <c r="J183" s="41">
        <f>SUM(J179:J182)</f>
        <v>267866.07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200000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200000</v>
      </c>
      <c r="G192" s="41">
        <f>G183+SUM(G188:G191)</f>
        <v>0</v>
      </c>
      <c r="H192" s="41">
        <f>+H183+SUM(H188:H191)</f>
        <v>392700</v>
      </c>
      <c r="I192" s="41">
        <f>I177+I183+SUM(I188:I191)</f>
        <v>0</v>
      </c>
      <c r="J192" s="41">
        <f>J183</f>
        <v>267866.07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46449546.890000001</v>
      </c>
      <c r="G193" s="47">
        <f>G112+G140+G169+G192</f>
        <v>1476019.5300000003</v>
      </c>
      <c r="H193" s="47">
        <f>H112+H140+H169+H192</f>
        <v>3654441.85</v>
      </c>
      <c r="I193" s="47">
        <f>I112+I140+I169+I192</f>
        <v>0</v>
      </c>
      <c r="J193" s="47">
        <f>J112+J140+J192</f>
        <v>267917.76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4852969.26+345151.23+51213.84-57412.76</f>
        <v>5191921.57</v>
      </c>
      <c r="G197" s="18">
        <f>2219586.84+145426.67+76821.61-57412.75+175.6</f>
        <v>2384597.9699999997</v>
      </c>
      <c r="H197" s="18">
        <f>200.37+818.25+42474.19+94098.73+29500.6</f>
        <v>167092.14000000001</v>
      </c>
      <c r="I197" s="18">
        <f>114594.98+1285.16+19824.03-370.52</f>
        <v>135333.65</v>
      </c>
      <c r="J197" s="18">
        <f>14123.79+469.99</f>
        <v>14593.78</v>
      </c>
      <c r="K197" s="18">
        <v>0</v>
      </c>
      <c r="L197" s="19">
        <f>SUM(F197:K197)</f>
        <v>7893539.1100000003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1342060.46+133194.47</f>
        <v>1475254.93</v>
      </c>
      <c r="G198" s="18">
        <f>378264.36+30999.02</f>
        <v>409263.38</v>
      </c>
      <c r="H198" s="18">
        <f>140352.75+396454.7+11479.27</f>
        <v>548286.71999999997</v>
      </c>
      <c r="I198" s="18">
        <f>6483.17+8852.17+8029.92+1269.8</f>
        <v>24635.06</v>
      </c>
      <c r="J198" s="18">
        <f>9096.75+4526.11</f>
        <v>13622.86</v>
      </c>
      <c r="K198" s="18">
        <v>1754.56</v>
      </c>
      <c r="L198" s="19">
        <f>SUM(F198:K198)</f>
        <v>2472817.5100000002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4576.5</v>
      </c>
      <c r="G200" s="18">
        <v>992.37</v>
      </c>
      <c r="H200" s="18">
        <v>0</v>
      </c>
      <c r="I200" s="18">
        <v>302.52</v>
      </c>
      <c r="J200" s="18">
        <v>0</v>
      </c>
      <c r="K200" s="18">
        <v>0</v>
      </c>
      <c r="L200" s="19">
        <f>SUM(F200:K200)</f>
        <v>5871.3899999999994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665271.43000000005</v>
      </c>
      <c r="G202" s="18">
        <v>311637.43</v>
      </c>
      <c r="H202" s="18">
        <f>41833.11+759+1165.75+1784.35</f>
        <v>45542.21</v>
      </c>
      <c r="I202" s="18">
        <v>6595.47</v>
      </c>
      <c r="J202" s="18">
        <v>0</v>
      </c>
      <c r="K202" s="18">
        <v>0</v>
      </c>
      <c r="L202" s="19">
        <f t="shared" ref="L202:L208" si="0">SUM(F202:K202)</f>
        <v>1029046.54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203968.5+69909</f>
        <v>273877.5</v>
      </c>
      <c r="G203" s="18">
        <f>113127.27+19544.18+4344</f>
        <v>137015.45000000001</v>
      </c>
      <c r="H203" s="18">
        <f>1295+2352.81+5804.34+2973.44</f>
        <v>12425.59</v>
      </c>
      <c r="I203" s="18">
        <f>22074.35+1859.8+5045.38+842.04</f>
        <v>29821.57</v>
      </c>
      <c r="J203" s="18">
        <f>6060.85+427.38+6031.98</f>
        <v>12520.21</v>
      </c>
      <c r="K203" s="18">
        <v>212.78</v>
      </c>
      <c r="L203" s="19">
        <f t="shared" si="0"/>
        <v>465873.10000000009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172697.57+2808+13688.82+1538.42+1989</f>
        <v>192721.81000000003</v>
      </c>
      <c r="G204" s="18">
        <f>77532.72+214.86+2524.67+1005.31+166.9</f>
        <v>81444.459999999992</v>
      </c>
      <c r="H204" s="18">
        <f>33164.4+28641.62+8580+24.77+3845.71+22870.13</f>
        <v>97126.630000000019</v>
      </c>
      <c r="I204" s="18">
        <f>4112.11</f>
        <v>4112.1099999999997</v>
      </c>
      <c r="J204" s="18">
        <v>0</v>
      </c>
      <c r="K204" s="18">
        <f>4513.95+79.95+2267.44</f>
        <v>6861.34</v>
      </c>
      <c r="L204" s="19">
        <f t="shared" si="0"/>
        <v>382266.35000000003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414372.76</v>
      </c>
      <c r="G205" s="18">
        <v>181112.75</v>
      </c>
      <c r="H205" s="18">
        <f>24739.35+42792.13</f>
        <v>67531.48</v>
      </c>
      <c r="I205" s="18">
        <v>589.98</v>
      </c>
      <c r="J205" s="18">
        <f>170+325</f>
        <v>495</v>
      </c>
      <c r="K205" s="18">
        <f>2569</f>
        <v>2569</v>
      </c>
      <c r="L205" s="19">
        <f t="shared" si="0"/>
        <v>666670.97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3568.5</v>
      </c>
      <c r="G207" s="18">
        <v>273.04000000000002</v>
      </c>
      <c r="H207" s="18">
        <f>42069.82+9445.2+1002145.87+10577.81</f>
        <v>1064238.7</v>
      </c>
      <c r="I207" s="18">
        <f>327251.97+549.91+3700</f>
        <v>331501.87999999995</v>
      </c>
      <c r="J207" s="18">
        <v>0</v>
      </c>
      <c r="K207" s="18">
        <v>0</v>
      </c>
      <c r="L207" s="19">
        <f t="shared" si="0"/>
        <v>1399582.1199999999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448277.97+228328</f>
        <v>676605.97</v>
      </c>
      <c r="I208" s="18">
        <v>0</v>
      </c>
      <c r="J208" s="18">
        <v>0</v>
      </c>
      <c r="K208" s="18">
        <v>0</v>
      </c>
      <c r="L208" s="19">
        <f t="shared" si="0"/>
        <v>676605.97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45065+52663.15</f>
        <v>97728.15</v>
      </c>
      <c r="G209" s="18">
        <f>76837.27+52757.14</f>
        <v>129594.41</v>
      </c>
      <c r="H209" s="18">
        <f>1408.5+32493.03+13019.18</f>
        <v>46920.71</v>
      </c>
      <c r="I209" s="18">
        <f>12369.65+1452.84</f>
        <v>13822.49</v>
      </c>
      <c r="J209" s="18">
        <f>48626.63+2687.1</f>
        <v>51313.729999999996</v>
      </c>
      <c r="K209" s="18">
        <v>1161.23</v>
      </c>
      <c r="L209" s="19">
        <f>SUM(F209:K209)</f>
        <v>340540.72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8319293.1499999994</v>
      </c>
      <c r="G211" s="41">
        <f t="shared" si="1"/>
        <v>3635931.2600000002</v>
      </c>
      <c r="H211" s="41">
        <f t="shared" si="1"/>
        <v>2725770.1499999994</v>
      </c>
      <c r="I211" s="41">
        <f t="shared" si="1"/>
        <v>546714.73</v>
      </c>
      <c r="J211" s="41">
        <f t="shared" si="1"/>
        <v>92545.579999999987</v>
      </c>
      <c r="K211" s="41">
        <f t="shared" si="1"/>
        <v>12558.91</v>
      </c>
      <c r="L211" s="41">
        <f t="shared" si="1"/>
        <v>15332813.780000001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3259652.72+35455.74</f>
        <v>3295108.4600000004</v>
      </c>
      <c r="G215" s="18">
        <f>1555843.19+53184.19</f>
        <v>1609027.38</v>
      </c>
      <c r="H215" s="18">
        <f>1493.16+355.64+856.49+1359</f>
        <v>4064.29</v>
      </c>
      <c r="I215" s="18">
        <f>65352.94+323.52</f>
        <v>65676.460000000006</v>
      </c>
      <c r="J215" s="18">
        <v>11308.36</v>
      </c>
      <c r="K215" s="18">
        <v>0</v>
      </c>
      <c r="L215" s="19">
        <f>SUM(F215:K215)</f>
        <v>4985184.95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1075158.03+92211.55</f>
        <v>1167369.58</v>
      </c>
      <c r="G216" s="18">
        <f>312629.23+21460.86</f>
        <v>334090.08999999997</v>
      </c>
      <c r="H216" s="18">
        <f>86130.46+470+366070.31+7947.19</f>
        <v>460617.96</v>
      </c>
      <c r="I216" s="18">
        <f>4589.98+6128.43+2168.08+5559.18</f>
        <v>18445.669999999998</v>
      </c>
      <c r="J216" s="18">
        <f>105+6297.75+3133.46</f>
        <v>9536.2099999999991</v>
      </c>
      <c r="K216" s="18">
        <v>1214.69</v>
      </c>
      <c r="L216" s="19">
        <f>SUM(F216:K216)</f>
        <v>1991274.1999999997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25384.38</v>
      </c>
      <c r="G218" s="18">
        <v>4298.55</v>
      </c>
      <c r="H218" s="18">
        <f>5360.8+540</f>
        <v>5900.8</v>
      </c>
      <c r="I218" s="18">
        <v>1802.17</v>
      </c>
      <c r="J218" s="18">
        <v>0</v>
      </c>
      <c r="K218" s="18">
        <f>720</f>
        <v>720</v>
      </c>
      <c r="L218" s="19">
        <f>SUM(F218:K218)</f>
        <v>38105.9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485567.56</v>
      </c>
      <c r="G220" s="18">
        <v>216605.56</v>
      </c>
      <c r="H220" s="18">
        <f>5436.11+431.4+1235.32</f>
        <v>7102.829999999999</v>
      </c>
      <c r="I220" s="18">
        <v>2809.78</v>
      </c>
      <c r="J220" s="18">
        <v>0</v>
      </c>
      <c r="K220" s="18">
        <v>0</v>
      </c>
      <c r="L220" s="19">
        <f t="shared" ref="L220:L226" si="2">SUM(F220:K220)</f>
        <v>712085.73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36888.07+48398.54</f>
        <v>85286.61</v>
      </c>
      <c r="G221" s="18">
        <f>35997.95+13530.59</f>
        <v>49528.539999999994</v>
      </c>
      <c r="H221" s="18">
        <f>6474.08+4018.39</f>
        <v>10492.47</v>
      </c>
      <c r="I221" s="18">
        <f>6271.14+1287.55+4708.7+227.35</f>
        <v>12494.74</v>
      </c>
      <c r="J221" s="18">
        <f>4363.96+295.88</f>
        <v>4659.84</v>
      </c>
      <c r="K221" s="18">
        <v>147.31</v>
      </c>
      <c r="L221" s="19">
        <f t="shared" si="2"/>
        <v>162609.50999999998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119559.86+1944+9476.87+17.15+1065.06+1377</f>
        <v>133439.94</v>
      </c>
      <c r="G222" s="18">
        <f>53676.5+148.75+1747.85+695.98+115.54</f>
        <v>56384.62</v>
      </c>
      <c r="H222" s="18">
        <f>16010.4+19828.81+5940+2662.42+15833.17</f>
        <v>60274.799999999996</v>
      </c>
      <c r="I222" s="18">
        <v>2846.84</v>
      </c>
      <c r="J222" s="18">
        <v>0</v>
      </c>
      <c r="K222" s="18">
        <f>3125.04+55.35+1569.76</f>
        <v>4750.1499999999996</v>
      </c>
      <c r="L222" s="19">
        <f t="shared" si="2"/>
        <v>257696.34999999998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349215.72</v>
      </c>
      <c r="G223" s="18">
        <v>175938.9</v>
      </c>
      <c r="H223" s="18">
        <f>15236.58+52536.48+4379</f>
        <v>72152.06</v>
      </c>
      <c r="I223" s="18">
        <v>620.91</v>
      </c>
      <c r="J223" s="18">
        <v>0</v>
      </c>
      <c r="K223" s="18">
        <v>2674.46</v>
      </c>
      <c r="L223" s="19">
        <f t="shared" si="2"/>
        <v>600602.04999999993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2470.5</v>
      </c>
      <c r="G225" s="18">
        <v>189.02</v>
      </c>
      <c r="H225" s="18">
        <f>44209.48+12476.02+693793.29+1872.86+2020.26+37504.76</f>
        <v>791876.67</v>
      </c>
      <c r="I225" s="18">
        <f>247507.68+380.71</f>
        <v>247888.38999999998</v>
      </c>
      <c r="J225" s="18">
        <v>25226.5</v>
      </c>
      <c r="K225" s="18">
        <v>0</v>
      </c>
      <c r="L225" s="19">
        <f t="shared" si="2"/>
        <v>1067651.08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f>310346.28+128614.36+10025.32</f>
        <v>448985.96</v>
      </c>
      <c r="I226" s="18">
        <v>0</v>
      </c>
      <c r="J226" s="18">
        <v>0</v>
      </c>
      <c r="K226" s="18">
        <v>0</v>
      </c>
      <c r="L226" s="19">
        <f t="shared" si="2"/>
        <v>448985.96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47174.6+36459.1</f>
        <v>83633.7</v>
      </c>
      <c r="G227" s="18">
        <f>50778.06+36524.17</f>
        <v>87302.23</v>
      </c>
      <c r="H227" s="18">
        <f>1009.5+22495.17+9013.28</f>
        <v>32517.949999999997</v>
      </c>
      <c r="I227" s="18">
        <f>8563.61+987.12</f>
        <v>9550.7300000000014</v>
      </c>
      <c r="J227" s="18">
        <f>33664.59+1860.3</f>
        <v>35524.89</v>
      </c>
      <c r="K227" s="18">
        <v>803.93</v>
      </c>
      <c r="L227" s="19">
        <f>SUM(F227:K227)</f>
        <v>249333.43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5627476.4500000011</v>
      </c>
      <c r="G229" s="41">
        <f>SUM(G215:G228)</f>
        <v>2533364.8899999997</v>
      </c>
      <c r="H229" s="41">
        <f>SUM(H215:H228)</f>
        <v>1893985.7899999998</v>
      </c>
      <c r="I229" s="41">
        <f>SUM(I215:I228)</f>
        <v>362135.68999999994</v>
      </c>
      <c r="J229" s="41">
        <f>SUM(J215:J228)</f>
        <v>86255.8</v>
      </c>
      <c r="K229" s="41">
        <f t="shared" si="3"/>
        <v>10310.540000000001</v>
      </c>
      <c r="L229" s="41">
        <f t="shared" si="3"/>
        <v>10513529.160000002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3936568.82+44647.96</f>
        <v>3981216.78</v>
      </c>
      <c r="G233" s="18">
        <f>1891120.78+66972.69</f>
        <v>1958093.47</v>
      </c>
      <c r="H233" s="18">
        <f>599+1818.5+21.59+968.75</f>
        <v>3407.84</v>
      </c>
      <c r="I233" s="18">
        <f>97386.63+215+2013.21+298.5+542.57</f>
        <v>100455.91000000002</v>
      </c>
      <c r="J233" s="18">
        <f>13356.6+8934.25</f>
        <v>22290.85</v>
      </c>
      <c r="K233" s="18">
        <v>0</v>
      </c>
      <c r="L233" s="19">
        <f>SUM(F233:K233)</f>
        <v>6065464.8499999996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799601.24+116118.25</f>
        <v>915719.49</v>
      </c>
      <c r="G234" s="18">
        <f>273463.08+27024.79</f>
        <v>300487.87</v>
      </c>
      <c r="H234" s="18">
        <f>66568.38+2046.86+386037.5+10007.57</f>
        <v>464660.31</v>
      </c>
      <c r="I234" s="18">
        <f>4543.62+7717.28+7000.45</f>
        <v>19261.349999999999</v>
      </c>
      <c r="J234" s="18">
        <f>7930.5+3945.84</f>
        <v>11876.34</v>
      </c>
      <c r="K234" s="18">
        <f>300+1529.61</f>
        <v>1829.61</v>
      </c>
      <c r="L234" s="19">
        <f>SUM(F234:K234)</f>
        <v>1713834.9700000002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1318679.8700000001</v>
      </c>
      <c r="G235" s="18">
        <v>618986.87</v>
      </c>
      <c r="H235" s="18">
        <f>43725.97+14885.06+1502.35</f>
        <v>60113.38</v>
      </c>
      <c r="I235" s="18">
        <f>133616.16+47424.49</f>
        <v>181040.65</v>
      </c>
      <c r="J235" s="18">
        <f>35796.21+46803.5+770</f>
        <v>83369.709999999992</v>
      </c>
      <c r="K235" s="18">
        <f>100</f>
        <v>100</v>
      </c>
      <c r="L235" s="19">
        <f>SUM(F235:K235)</f>
        <v>2262290.48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287645.33</v>
      </c>
      <c r="G236" s="18">
        <v>73160.41</v>
      </c>
      <c r="H236" s="18">
        <f>54944+10859.45+3813.31+540</f>
        <v>70156.759999999995</v>
      </c>
      <c r="I236" s="18">
        <f>26424.32</f>
        <v>26424.32</v>
      </c>
      <c r="J236" s="18">
        <v>16588</v>
      </c>
      <c r="K236" s="18">
        <v>40074.1</v>
      </c>
      <c r="L236" s="19">
        <f>SUM(F236:K236)</f>
        <v>514048.92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558993.52</v>
      </c>
      <c r="G238" s="18">
        <v>234195.25</v>
      </c>
      <c r="H238" s="18">
        <f>52698.22+1808.43+3155.43+75+1555.59</f>
        <v>59292.67</v>
      </c>
      <c r="I238" s="18">
        <v>3035.64</v>
      </c>
      <c r="J238" s="18">
        <v>775.99</v>
      </c>
      <c r="K238" s="18">
        <v>0</v>
      </c>
      <c r="L238" s="19">
        <f t="shared" ref="L238:L244" si="4">SUM(F238:K238)</f>
        <v>856293.07000000007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91494+60946.31-81.91</f>
        <v>152358.39999999999</v>
      </c>
      <c r="G239" s="18">
        <f>36488.07+17038.52+1770</f>
        <v>55296.59</v>
      </c>
      <c r="H239" s="18">
        <f>25226.06+119.98+5060.2</f>
        <v>30406.240000000002</v>
      </c>
      <c r="I239" s="18">
        <f>12348.15+1621.36+10293.03+71.83+286.29</f>
        <v>24620.660000000003</v>
      </c>
      <c r="J239" s="18">
        <f>5634.75+372.59+47326</f>
        <v>53333.34</v>
      </c>
      <c r="K239" s="18">
        <v>185.5</v>
      </c>
      <c r="L239" s="19">
        <f t="shared" si="4"/>
        <v>316200.73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150556.86+2448+11993.84+21.59+1341.18+1734</f>
        <v>168095.46999999997</v>
      </c>
      <c r="G240" s="18">
        <f>67592.63+187.31+2200.99+876.42+145.5</f>
        <v>71002.850000000006</v>
      </c>
      <c r="H240" s="18">
        <f>32020.8+24969.62+7480+3352.67+19938.06</f>
        <v>87761.15</v>
      </c>
      <c r="I240" s="18">
        <f>3584.91+403.36</f>
        <v>3988.27</v>
      </c>
      <c r="J240" s="18">
        <v>0</v>
      </c>
      <c r="K240" s="18">
        <f>3935.23+69.7</f>
        <v>4004.93</v>
      </c>
      <c r="L240" s="19">
        <f t="shared" si="4"/>
        <v>334852.67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522016.77</v>
      </c>
      <c r="G241" s="18">
        <v>212825.57</v>
      </c>
      <c r="H241" s="18">
        <f>14354.38+25843.64</f>
        <v>40198.019999999997</v>
      </c>
      <c r="I241" s="18">
        <v>15217.63</v>
      </c>
      <c r="J241" s="18">
        <v>0</v>
      </c>
      <c r="K241" s="18">
        <f>5479+1976.74</f>
        <v>7455.74</v>
      </c>
      <c r="L241" s="19">
        <f t="shared" si="4"/>
        <v>797713.7300000001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3111</v>
      </c>
      <c r="G243" s="18">
        <v>238.03</v>
      </c>
      <c r="H243" s="18">
        <f>63055.93+14270.24+873665.63+33861.66</f>
        <v>984853.46000000008</v>
      </c>
      <c r="I243" s="18">
        <f>347358.53+479.41</f>
        <v>347837.94</v>
      </c>
      <c r="J243" s="18">
        <v>0</v>
      </c>
      <c r="K243" s="18">
        <v>0</v>
      </c>
      <c r="L243" s="19">
        <f t="shared" si="4"/>
        <v>1336040.4300000002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f>390806.43+104021.83+81054.42+84142.63+7529.69</f>
        <v>667555</v>
      </c>
      <c r="I244" s="18">
        <v>0</v>
      </c>
      <c r="J244" s="18"/>
      <c r="K244" s="18"/>
      <c r="L244" s="19">
        <f t="shared" si="4"/>
        <v>667555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37563.36+45911.46</f>
        <v>83474.820000000007</v>
      </c>
      <c r="G245" s="18">
        <f>84700.41+45993.4</f>
        <v>130693.81</v>
      </c>
      <c r="H245" s="18">
        <f>1264.28+28327.26+11350.05</f>
        <v>40941.589999999997</v>
      </c>
      <c r="I245" s="18">
        <f>10783.8+1243.04</f>
        <v>12026.84</v>
      </c>
      <c r="J245" s="18">
        <f>42392.45+2342.6</f>
        <v>44735.049999999996</v>
      </c>
      <c r="K245" s="18">
        <v>1012.35</v>
      </c>
      <c r="L245" s="19">
        <f>SUM(F245:K245)</f>
        <v>312884.45999999996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7991311.4500000011</v>
      </c>
      <c r="G247" s="41">
        <f t="shared" si="5"/>
        <v>3654980.7199999997</v>
      </c>
      <c r="H247" s="41">
        <f t="shared" si="5"/>
        <v>2509346.42</v>
      </c>
      <c r="I247" s="41">
        <f t="shared" si="5"/>
        <v>733909.21000000008</v>
      </c>
      <c r="J247" s="41">
        <f t="shared" si="5"/>
        <v>232969.27999999997</v>
      </c>
      <c r="K247" s="41">
        <f t="shared" si="5"/>
        <v>54662.229999999996</v>
      </c>
      <c r="L247" s="41">
        <f t="shared" si="5"/>
        <v>15177179.310000002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143525</v>
      </c>
      <c r="G251" s="18">
        <v>56868.6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200393.60000000001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143525</v>
      </c>
      <c r="G256" s="41">
        <f t="shared" si="7"/>
        <v>56868.6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200393.60000000001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22081606.050000004</v>
      </c>
      <c r="G257" s="41">
        <f t="shared" si="8"/>
        <v>9881145.4700000007</v>
      </c>
      <c r="H257" s="41">
        <f t="shared" si="8"/>
        <v>7129102.3599999994</v>
      </c>
      <c r="I257" s="41">
        <f t="shared" si="8"/>
        <v>1642759.63</v>
      </c>
      <c r="J257" s="41">
        <f t="shared" si="8"/>
        <v>411770.66</v>
      </c>
      <c r="K257" s="41">
        <f t="shared" si="8"/>
        <v>77531.679999999993</v>
      </c>
      <c r="L257" s="41">
        <f t="shared" si="8"/>
        <v>41223915.850000009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2400691.5099999998</v>
      </c>
      <c r="L260" s="19">
        <f>SUM(F260:K260)</f>
        <v>2400691.5099999998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1513761.75</v>
      </c>
      <c r="L261" s="19">
        <f>SUM(F261:K261)</f>
        <v>1513761.75</v>
      </c>
      <c r="N261" s="18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392700</v>
      </c>
      <c r="L264" s="19">
        <f t="shared" ref="L264:L270" si="9">SUM(F264:K264)</f>
        <v>392700</v>
      </c>
      <c r="N264" s="18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18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4407153.26</v>
      </c>
      <c r="L270" s="41">
        <f t="shared" si="9"/>
        <v>4407153.26</v>
      </c>
      <c r="N270" s="18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22081606.050000004</v>
      </c>
      <c r="G271" s="42">
        <f t="shared" si="11"/>
        <v>9881145.4700000007</v>
      </c>
      <c r="H271" s="42">
        <f t="shared" si="11"/>
        <v>7129102.3599999994</v>
      </c>
      <c r="I271" s="42">
        <f t="shared" si="11"/>
        <v>1642759.63</v>
      </c>
      <c r="J271" s="42">
        <f t="shared" si="11"/>
        <v>411770.66</v>
      </c>
      <c r="K271" s="42">
        <f t="shared" si="11"/>
        <v>4484684.9399999995</v>
      </c>
      <c r="L271" s="42">
        <f t="shared" si="11"/>
        <v>45631069.110000007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390814.42+180217.09</f>
        <v>571031.51</v>
      </c>
      <c r="G277" s="18">
        <f>74103.79+93666.59</f>
        <v>167770.38</v>
      </c>
      <c r="H277" s="18">
        <f>4811.05+26197.06</f>
        <v>31008.11</v>
      </c>
      <c r="I277" s="18">
        <f>1049.11+346.3+978.65+10+808.45</f>
        <v>3192.51</v>
      </c>
      <c r="J277" s="18">
        <v>341.58</v>
      </c>
      <c r="K277" s="18">
        <v>0</v>
      </c>
      <c r="L277" s="19">
        <f>SUM(F277:K277)</f>
        <v>773344.09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72728.75+6177.94</f>
        <v>78906.69</v>
      </c>
      <c r="G281" s="18">
        <f>7418.03+2353.58</f>
        <v>9771.61</v>
      </c>
      <c r="H281" s="18">
        <v>400</v>
      </c>
      <c r="I281" s="18">
        <f>496.64+2226.8</f>
        <v>2723.44</v>
      </c>
      <c r="J281" s="18">
        <v>0</v>
      </c>
      <c r="K281" s="18">
        <v>0</v>
      </c>
      <c r="L281" s="19">
        <f t="shared" ref="L281:L287" si="12">SUM(F281:K281)</f>
        <v>91801.74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100460.79+6491.57</f>
        <v>106952.35999999999</v>
      </c>
      <c r="G282" s="18">
        <f>28326.1+656.89</f>
        <v>28982.989999999998</v>
      </c>
      <c r="H282" s="18">
        <f>2568+7852.59</f>
        <v>10420.59</v>
      </c>
      <c r="I282" s="18">
        <f>1769.55+30.79+382+8+435.21</f>
        <v>2625.55</v>
      </c>
      <c r="J282" s="18">
        <v>0</v>
      </c>
      <c r="K282" s="18">
        <v>0</v>
      </c>
      <c r="L282" s="19">
        <f t="shared" si="12"/>
        <v>148981.48999999996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737.13</v>
      </c>
      <c r="L283" s="19">
        <f t="shared" si="12"/>
        <v>737.13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f>16757.5+26583.51</f>
        <v>43341.009999999995</v>
      </c>
      <c r="G284" s="18">
        <f>3441.08+10061.24</f>
        <v>13502.32</v>
      </c>
      <c r="H284" s="18">
        <v>0</v>
      </c>
      <c r="I284" s="18">
        <v>500.92</v>
      </c>
      <c r="J284" s="18">
        <v>0</v>
      </c>
      <c r="K284" s="18">
        <v>0</v>
      </c>
      <c r="L284" s="19">
        <f t="shared" si="12"/>
        <v>57344.249999999993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12120.3</v>
      </c>
      <c r="G286" s="18">
        <v>5400.88</v>
      </c>
      <c r="H286" s="18">
        <v>18567.3</v>
      </c>
      <c r="I286" s="18">
        <v>1926.07</v>
      </c>
      <c r="J286" s="18">
        <v>0</v>
      </c>
      <c r="K286" s="18">
        <v>0</v>
      </c>
      <c r="L286" s="19">
        <f t="shared" si="12"/>
        <v>38014.549999999996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f>4000</f>
        <v>4000</v>
      </c>
      <c r="I287" s="18">
        <v>0</v>
      </c>
      <c r="J287" s="18">
        <v>0</v>
      </c>
      <c r="K287" s="18">
        <v>0</v>
      </c>
      <c r="L287" s="19">
        <f t="shared" si="12"/>
        <v>4000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812351.87</v>
      </c>
      <c r="G290" s="42">
        <f t="shared" si="13"/>
        <v>225428.18</v>
      </c>
      <c r="H290" s="42">
        <f t="shared" si="13"/>
        <v>64396</v>
      </c>
      <c r="I290" s="42">
        <f t="shared" si="13"/>
        <v>10968.49</v>
      </c>
      <c r="J290" s="42">
        <f t="shared" si="13"/>
        <v>341.58</v>
      </c>
      <c r="K290" s="42">
        <f t="shared" si="13"/>
        <v>737.13</v>
      </c>
      <c r="L290" s="41">
        <f t="shared" si="13"/>
        <v>1114223.25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120635.29+124765.68</f>
        <v>245400.96999999997</v>
      </c>
      <c r="G296" s="18">
        <f>43559.34+64846.1</f>
        <v>108405.44</v>
      </c>
      <c r="H296" s="18">
        <v>18136.43</v>
      </c>
      <c r="I296" s="18">
        <f>937.79+559.7</f>
        <v>1497.49</v>
      </c>
      <c r="J296" s="18">
        <v>594</v>
      </c>
      <c r="K296" s="18">
        <v>107.18</v>
      </c>
      <c r="L296" s="19">
        <f>SUM(F296:K296)</f>
        <v>374141.50999999995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10535.29+4277.04</f>
        <v>14812.330000000002</v>
      </c>
      <c r="G300" s="18">
        <f>873.26+1629.4</f>
        <v>2502.66</v>
      </c>
      <c r="H300" s="18">
        <v>634.94000000000005</v>
      </c>
      <c r="I300" s="18">
        <v>1541.63</v>
      </c>
      <c r="J300" s="18">
        <v>0</v>
      </c>
      <c r="K300" s="18">
        <v>0</v>
      </c>
      <c r="L300" s="19">
        <f t="shared" ref="L300:L306" si="14">SUM(F300:K300)</f>
        <v>19491.560000000001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69928.34+4494.16</f>
        <v>74422.5</v>
      </c>
      <c r="G301" s="18">
        <f>52920.96+454.77</f>
        <v>53375.729999999996</v>
      </c>
      <c r="H301" s="18">
        <v>5436.41</v>
      </c>
      <c r="I301" s="18">
        <v>301.3</v>
      </c>
      <c r="J301" s="18">
        <v>0</v>
      </c>
      <c r="K301" s="18">
        <v>0</v>
      </c>
      <c r="L301" s="19">
        <f t="shared" si="14"/>
        <v>133535.93999999997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510.32</v>
      </c>
      <c r="L302" s="19">
        <f t="shared" si="14"/>
        <v>510.32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18403.97</v>
      </c>
      <c r="G303" s="18">
        <v>6965.47</v>
      </c>
      <c r="H303" s="18">
        <v>346.79</v>
      </c>
      <c r="I303" s="18">
        <v>0</v>
      </c>
      <c r="J303" s="18">
        <v>0</v>
      </c>
      <c r="K303" s="18">
        <v>0</v>
      </c>
      <c r="L303" s="19">
        <f t="shared" si="14"/>
        <v>25716.230000000003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8390.98</v>
      </c>
      <c r="G305" s="18">
        <v>3739.07</v>
      </c>
      <c r="H305" s="18">
        <v>12854.28</v>
      </c>
      <c r="I305" s="18">
        <v>1333.43</v>
      </c>
      <c r="J305" s="18">
        <v>0</v>
      </c>
      <c r="K305" s="18">
        <v>0</v>
      </c>
      <c r="L305" s="19">
        <f t="shared" si="14"/>
        <v>26317.760000000002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361430.75</v>
      </c>
      <c r="G309" s="42">
        <f t="shared" si="15"/>
        <v>174988.37000000002</v>
      </c>
      <c r="H309" s="42">
        <f t="shared" si="15"/>
        <v>37408.85</v>
      </c>
      <c r="I309" s="42">
        <f t="shared" si="15"/>
        <v>4673.8500000000004</v>
      </c>
      <c r="J309" s="42">
        <f t="shared" si="15"/>
        <v>594</v>
      </c>
      <c r="K309" s="42">
        <f t="shared" si="15"/>
        <v>617.5</v>
      </c>
      <c r="L309" s="41">
        <f t="shared" si="15"/>
        <v>579713.31999999983</v>
      </c>
      <c r="N309" s="18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3921.5</v>
      </c>
      <c r="G314" s="18">
        <v>565.99</v>
      </c>
      <c r="H314" s="18"/>
      <c r="I314" s="18"/>
      <c r="J314" s="18"/>
      <c r="K314" s="18"/>
      <c r="L314" s="19">
        <f>SUM(F314:K314)</f>
        <v>4487.49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271268.38+157112.33+53982.99</f>
        <v>482363.69999999995</v>
      </c>
      <c r="G315" s="18">
        <f>147019.43+81658.05+13359.58</f>
        <v>242037.05999999997</v>
      </c>
      <c r="H315" s="18">
        <f>99836.43+22838.47</f>
        <v>122674.9</v>
      </c>
      <c r="I315" s="18">
        <f>1393.37+704.8</f>
        <v>2098.17</v>
      </c>
      <c r="J315" s="18"/>
      <c r="K315" s="18"/>
      <c r="L315" s="19">
        <f>SUM(F315:K315)</f>
        <v>849173.83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1710.62</v>
      </c>
      <c r="I316" s="18">
        <v>4527.7700000000004</v>
      </c>
      <c r="J316" s="18">
        <v>48023.25</v>
      </c>
      <c r="K316" s="18">
        <f>1000+387.48</f>
        <v>1387.48</v>
      </c>
      <c r="L316" s="19">
        <f>SUM(F316:K316)</f>
        <v>55649.120000000003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3920</v>
      </c>
      <c r="G317" s="18">
        <v>841.84</v>
      </c>
      <c r="H317" s="18">
        <v>12870</v>
      </c>
      <c r="I317" s="18"/>
      <c r="J317" s="18">
        <v>888</v>
      </c>
      <c r="K317" s="18"/>
      <c r="L317" s="19">
        <f>SUM(F317:K317)</f>
        <v>18519.84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5385.9</v>
      </c>
      <c r="G319" s="18">
        <v>2051.84</v>
      </c>
      <c r="H319" s="18"/>
      <c r="I319" s="18">
        <v>1941.63</v>
      </c>
      <c r="J319" s="18"/>
      <c r="K319" s="18">
        <v>1515.54</v>
      </c>
      <c r="L319" s="19">
        <f t="shared" ref="L319:L325" si="16">SUM(F319:K319)</f>
        <v>10894.91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5659.32</v>
      </c>
      <c r="G320" s="18">
        <f>2500+572.68</f>
        <v>3072.68</v>
      </c>
      <c r="H320" s="18">
        <f>24577.7+6845.85</f>
        <v>31423.550000000003</v>
      </c>
      <c r="I320" s="18">
        <f>145+379.42</f>
        <v>524.42000000000007</v>
      </c>
      <c r="J320" s="18"/>
      <c r="K320" s="18">
        <v>3320</v>
      </c>
      <c r="L320" s="19">
        <f t="shared" si="16"/>
        <v>43999.97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642.63</v>
      </c>
      <c r="L321" s="19">
        <f t="shared" si="16"/>
        <v>642.63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23175.37</v>
      </c>
      <c r="G322" s="18">
        <v>8771.34</v>
      </c>
      <c r="H322" s="18">
        <v>630.66</v>
      </c>
      <c r="I322" s="18">
        <v>436.7</v>
      </c>
      <c r="J322" s="18"/>
      <c r="K322" s="18"/>
      <c r="L322" s="19">
        <f t="shared" si="16"/>
        <v>33014.07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f>20889.68+10566.41</f>
        <v>31456.09</v>
      </c>
      <c r="G324" s="18">
        <f>1598.06+4708.46</f>
        <v>6306.52</v>
      </c>
      <c r="H324" s="18">
        <f>5104.96+16186.88+17571.99+11033.31+18472</f>
        <v>68369.14</v>
      </c>
      <c r="I324" s="18">
        <f>16915.43+1679.14+887.7+2688.63</f>
        <v>22170.9</v>
      </c>
      <c r="J324" s="18">
        <v>0</v>
      </c>
      <c r="K324" s="18">
        <v>0</v>
      </c>
      <c r="L324" s="19">
        <f t="shared" si="16"/>
        <v>128302.65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14533.31</v>
      </c>
      <c r="I326" s="18">
        <v>989.36</v>
      </c>
      <c r="J326" s="18"/>
      <c r="K326" s="18"/>
      <c r="L326" s="19">
        <f>SUM(F326:K326)</f>
        <v>15522.67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555881.88</v>
      </c>
      <c r="G328" s="42">
        <f t="shared" si="17"/>
        <v>263647.26999999996</v>
      </c>
      <c r="H328" s="42">
        <f t="shared" si="17"/>
        <v>252212.18</v>
      </c>
      <c r="I328" s="42">
        <f t="shared" si="17"/>
        <v>32688.950000000004</v>
      </c>
      <c r="J328" s="42">
        <f t="shared" si="17"/>
        <v>48911.25</v>
      </c>
      <c r="K328" s="42">
        <f t="shared" si="17"/>
        <v>6865.6500000000005</v>
      </c>
      <c r="L328" s="41">
        <f t="shared" si="17"/>
        <v>1160207.1799999997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457035.38+91582.54-344.72-19.07+342.59</f>
        <v>548596.72000000009</v>
      </c>
      <c r="G333" s="18">
        <v>80611.63</v>
      </c>
      <c r="H333" s="18">
        <v>72917.14</v>
      </c>
      <c r="I333" s="18">
        <v>21311.47</v>
      </c>
      <c r="J333" s="18">
        <v>3042.17</v>
      </c>
      <c r="K333" s="18">
        <v>22472.98</v>
      </c>
      <c r="L333" s="19">
        <f t="shared" si="18"/>
        <v>748952.1100000001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548596.72000000009</v>
      </c>
      <c r="G337" s="41">
        <f t="shared" si="19"/>
        <v>80611.63</v>
      </c>
      <c r="H337" s="41">
        <f t="shared" si="19"/>
        <v>72917.14</v>
      </c>
      <c r="I337" s="41">
        <f t="shared" si="19"/>
        <v>21311.47</v>
      </c>
      <c r="J337" s="41">
        <f t="shared" si="19"/>
        <v>3042.17</v>
      </c>
      <c r="K337" s="41">
        <f t="shared" si="19"/>
        <v>22472.98</v>
      </c>
      <c r="L337" s="41">
        <f t="shared" si="18"/>
        <v>748952.1100000001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2278261.2200000002</v>
      </c>
      <c r="G338" s="41">
        <f t="shared" si="20"/>
        <v>744675.45000000007</v>
      </c>
      <c r="H338" s="41">
        <f t="shared" si="20"/>
        <v>426934.17000000004</v>
      </c>
      <c r="I338" s="41">
        <f t="shared" si="20"/>
        <v>69642.760000000009</v>
      </c>
      <c r="J338" s="41">
        <f t="shared" si="20"/>
        <v>52889</v>
      </c>
      <c r="K338" s="41">
        <f t="shared" si="20"/>
        <v>30693.260000000002</v>
      </c>
      <c r="L338" s="41">
        <f t="shared" si="20"/>
        <v>3603095.8599999994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6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2278261.2200000002</v>
      </c>
      <c r="G352" s="41">
        <f>G338</f>
        <v>744675.45000000007</v>
      </c>
      <c r="H352" s="41">
        <f>H338</f>
        <v>426934.17000000004</v>
      </c>
      <c r="I352" s="41">
        <f>I338</f>
        <v>69642.760000000009</v>
      </c>
      <c r="J352" s="41">
        <f>J338</f>
        <v>52889</v>
      </c>
      <c r="K352" s="47">
        <f>K338+K351</f>
        <v>30693.260000000002</v>
      </c>
      <c r="L352" s="41">
        <f>L338+L351</f>
        <v>3603095.8599999994</v>
      </c>
      <c r="M352" s="52"/>
      <c r="N352" s="216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2644.62</v>
      </c>
      <c r="G358" s="18">
        <f>1019.09+7.55</f>
        <v>1026.6400000000001</v>
      </c>
      <c r="H358" s="18">
        <f>4216.7+519764.82</f>
        <v>523981.52</v>
      </c>
      <c r="I358" s="18">
        <v>699.8</v>
      </c>
      <c r="J358" s="18"/>
      <c r="K358" s="18">
        <v>568.16</v>
      </c>
      <c r="L358" s="13">
        <f>SUM(F358:K358)</f>
        <v>528920.74000000011</v>
      </c>
      <c r="N358" s="18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1830.89</v>
      </c>
      <c r="G359" s="18">
        <f>705.52+5.23</f>
        <v>710.75</v>
      </c>
      <c r="H359" s="18">
        <f>2919.25+359837.18</f>
        <v>362756.43</v>
      </c>
      <c r="I359" s="18">
        <v>484.47</v>
      </c>
      <c r="J359" s="18"/>
      <c r="K359" s="18">
        <v>393.34</v>
      </c>
      <c r="L359" s="19">
        <f>SUM(F359:K359)</f>
        <v>366175.88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2305.56</v>
      </c>
      <c r="G360" s="18">
        <f>888.44+6.57</f>
        <v>895.0100000000001</v>
      </c>
      <c r="H360" s="18">
        <f>3676.1+453128.3</f>
        <v>456804.39999999997</v>
      </c>
      <c r="I360" s="18">
        <v>610.08000000000004</v>
      </c>
      <c r="J360" s="18"/>
      <c r="K360" s="18">
        <v>495.32</v>
      </c>
      <c r="L360" s="19">
        <f>SUM(F360:K360)</f>
        <v>461110.37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6781.07</v>
      </c>
      <c r="G362" s="47">
        <f t="shared" si="22"/>
        <v>2632.4</v>
      </c>
      <c r="H362" s="47">
        <f t="shared" si="22"/>
        <v>1343542.3499999999</v>
      </c>
      <c r="I362" s="47">
        <f t="shared" si="22"/>
        <v>1794.35</v>
      </c>
      <c r="J362" s="47">
        <f t="shared" si="22"/>
        <v>0</v>
      </c>
      <c r="K362" s="47">
        <f t="shared" si="22"/>
        <v>1456.82</v>
      </c>
      <c r="L362" s="47">
        <f t="shared" si="22"/>
        <v>1356206.9900000002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699.8</v>
      </c>
      <c r="G367" s="18">
        <v>484.47</v>
      </c>
      <c r="H367" s="18">
        <v>610.08000000000004</v>
      </c>
      <c r="I367" s="56">
        <f>SUM(F367:H367)</f>
        <v>1794.35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699.8</v>
      </c>
      <c r="G369" s="47">
        <f>SUM(G367:G368)</f>
        <v>484.47</v>
      </c>
      <c r="H369" s="47">
        <f>SUM(H367:H368)</f>
        <v>610.08000000000004</v>
      </c>
      <c r="I369" s="47">
        <f>SUM(I367:I368)</f>
        <v>1794.35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167866.07</v>
      </c>
      <c r="H389" s="18">
        <v>31</v>
      </c>
      <c r="I389" s="18"/>
      <c r="J389" s="24" t="s">
        <v>289</v>
      </c>
      <c r="K389" s="24" t="s">
        <v>289</v>
      </c>
      <c r="L389" s="56">
        <f t="shared" si="25"/>
        <v>167897.07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f>50000+50000</f>
        <v>100000</v>
      </c>
      <c r="H392" s="18">
        <f>6.92+4.55+5.5+3.72</f>
        <v>20.689999999999998</v>
      </c>
      <c r="I392" s="18"/>
      <c r="J392" s="24" t="s">
        <v>289</v>
      </c>
      <c r="K392" s="24" t="s">
        <v>289</v>
      </c>
      <c r="L392" s="56">
        <f t="shared" si="25"/>
        <v>100020.69</v>
      </c>
      <c r="M392" s="8"/>
      <c r="N392" s="269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267866.07</v>
      </c>
      <c r="H393" s="139">
        <f>SUM(H387:H392)</f>
        <v>51.69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267917.76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69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267866.07</v>
      </c>
      <c r="H408" s="47">
        <f>H393+H401+H407</f>
        <v>51.69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267917.76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6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200000</v>
      </c>
      <c r="L415" s="56">
        <f t="shared" si="27"/>
        <v>200000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69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200000</v>
      </c>
      <c r="L419" s="47">
        <f t="shared" si="28"/>
        <v>200000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69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200000</v>
      </c>
      <c r="L434" s="47">
        <f t="shared" si="32"/>
        <v>200000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311131+75007+100005+50003.7+60062.1</f>
        <v>596208.79999999993</v>
      </c>
      <c r="G439" s="18"/>
      <c r="H439" s="18"/>
      <c r="I439" s="56">
        <f t="shared" ref="I439:I445" si="33">SUM(F439:H439)</f>
        <v>596208.79999999993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f>237685.69+50000</f>
        <v>287685.69</v>
      </c>
      <c r="G441" s="18"/>
      <c r="H441" s="18"/>
      <c r="I441" s="56">
        <f t="shared" si="33"/>
        <v>287685.69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f>430036.6-186130+400.37</f>
        <v>244306.96999999997</v>
      </c>
      <c r="G443" s="18"/>
      <c r="H443" s="18"/>
      <c r="I443" s="56">
        <f t="shared" si="33"/>
        <v>244306.96999999997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1128201.46</v>
      </c>
      <c r="G446" s="13">
        <f>SUM(G439:G445)</f>
        <v>0</v>
      </c>
      <c r="H446" s="13">
        <f>SUM(H439:H445)</f>
        <v>0</v>
      </c>
      <c r="I446" s="13">
        <f>SUM(I439:I445)</f>
        <v>1128201.46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f>17217</f>
        <v>17217</v>
      </c>
      <c r="G448" s="18"/>
      <c r="H448" s="18"/>
      <c r="I448" s="56">
        <f>SUM(F448:H448)</f>
        <v>17217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17217</v>
      </c>
      <c r="G452" s="72">
        <f>SUM(G448:G451)</f>
        <v>0</v>
      </c>
      <c r="H452" s="72">
        <f>SUM(H448:H451)</f>
        <v>0</v>
      </c>
      <c r="I452" s="72">
        <f>SUM(I448:I451)</f>
        <v>17217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f>60056.6+5.5</f>
        <v>60062.1</v>
      </c>
      <c r="G454" s="18"/>
      <c r="H454" s="18"/>
      <c r="I454" s="56">
        <f t="shared" ref="I454:I459" si="34">SUM(F454:H454)</f>
        <v>60062.1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775906.99+125007+100004.6+50003.77</f>
        <v>1050922.3599999999</v>
      </c>
      <c r="G459" s="18"/>
      <c r="H459" s="18"/>
      <c r="I459" s="56">
        <f t="shared" si="34"/>
        <v>1050922.3599999999</v>
      </c>
      <c r="J459" s="24" t="s">
        <v>289</v>
      </c>
      <c r="K459" s="24" t="s">
        <v>289</v>
      </c>
      <c r="L459" s="24" t="s">
        <v>289</v>
      </c>
      <c r="M459" s="52"/>
      <c r="N459" s="216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1110984.46</v>
      </c>
      <c r="G460" s="83">
        <f>SUM(G454:G459)</f>
        <v>0</v>
      </c>
      <c r="H460" s="83">
        <f>SUM(H454:H459)</f>
        <v>0</v>
      </c>
      <c r="I460" s="83">
        <f>SUM(I454:I459)</f>
        <v>1110984.46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1128201.46</v>
      </c>
      <c r="G461" s="42">
        <f>G452+G460</f>
        <v>0</v>
      </c>
      <c r="H461" s="42">
        <f>H452+H460</f>
        <v>0</v>
      </c>
      <c r="I461" s="42">
        <f>I452+I460</f>
        <v>1128201.46</v>
      </c>
      <c r="J461" s="24" t="s">
        <v>289</v>
      </c>
      <c r="K461" s="24" t="s">
        <v>289</v>
      </c>
      <c r="L461" s="24" t="s">
        <v>289</v>
      </c>
      <c r="N461" s="216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6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6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6"/>
    </row>
    <row r="465" spans="1:14" s="52" customFormat="1" ht="12" customHeight="1" x14ac:dyDescent="0.2">
      <c r="A465" s="188" t="s">
        <v>891</v>
      </c>
      <c r="B465" s="105">
        <v>19</v>
      </c>
      <c r="C465" s="111">
        <v>1</v>
      </c>
      <c r="D465" s="2" t="s">
        <v>433</v>
      </c>
      <c r="E465" s="111"/>
      <c r="F465" s="18">
        <v>736448.43</v>
      </c>
      <c r="G465" s="18">
        <v>344563.53</v>
      </c>
      <c r="H465" s="18">
        <v>22620.22</v>
      </c>
      <c r="I465" s="18">
        <v>0</v>
      </c>
      <c r="J465" s="18">
        <v>375000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11981535.89+27934160+6533851</f>
        <v>46449546.890000001</v>
      </c>
      <c r="G468" s="18">
        <f>1474194.76+1824.25+0.52</f>
        <v>1476019.53</v>
      </c>
      <c r="H468" s="18">
        <f>3554593.85+99848</f>
        <v>3654441.85</v>
      </c>
      <c r="I468" s="18"/>
      <c r="J468" s="18">
        <f>167897.07+20.69+100000</f>
        <v>267917.76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272016.11</v>
      </c>
      <c r="I469" s="18"/>
      <c r="J469" s="18">
        <f>418123.99+249942.71</f>
        <v>668066.69999999995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46449546.890000001</v>
      </c>
      <c r="G470" s="53">
        <f>SUM(G468:G469)</f>
        <v>1476019.53</v>
      </c>
      <c r="H470" s="53">
        <f>SUM(H468:H469)</f>
        <v>3926457.96</v>
      </c>
      <c r="I470" s="53">
        <f>SUM(I468:I469)</f>
        <v>0</v>
      </c>
      <c r="J470" s="53">
        <f>SUM(J468:J469)</f>
        <v>935984.46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45631069.109999999</v>
      </c>
      <c r="G472" s="18">
        <v>1356206.99</v>
      </c>
      <c r="H472" s="18">
        <v>3603095.86</v>
      </c>
      <c r="I472" s="18"/>
      <c r="J472" s="18">
        <v>200000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45631069.109999999</v>
      </c>
      <c r="G474" s="53">
        <f>SUM(G472:G473)</f>
        <v>1356206.99</v>
      </c>
      <c r="H474" s="53">
        <f>SUM(H472:H473)</f>
        <v>3603095.86</v>
      </c>
      <c r="I474" s="53">
        <f>SUM(I472:I473)</f>
        <v>0</v>
      </c>
      <c r="J474" s="53">
        <f>SUM(J472:J473)</f>
        <v>200000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189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1554926.2100000009</v>
      </c>
      <c r="G476" s="53">
        <f>(G465+G470)- G474</f>
        <v>464376.07000000007</v>
      </c>
      <c r="H476" s="53">
        <f>(H465+H470)- H474</f>
        <v>345982.3200000003</v>
      </c>
      <c r="I476" s="53">
        <f>(I465+I470)- I474</f>
        <v>0</v>
      </c>
      <c r="J476" s="53">
        <f>(J465+J470)- J474</f>
        <v>1110984.46</v>
      </c>
      <c r="K476" s="24" t="s">
        <v>289</v>
      </c>
      <c r="L476" s="24" t="s">
        <v>289</v>
      </c>
      <c r="N476" s="216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6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6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6"/>
    </row>
    <row r="481" spans="1:14" s="52" customFormat="1" ht="12" customHeight="1" x14ac:dyDescent="0.2">
      <c r="A481" s="18" t="s">
        <v>913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6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6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6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6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6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6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6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6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6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6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23658574.309999999</v>
      </c>
      <c r="G495" s="18"/>
      <c r="H495" s="18"/>
      <c r="I495" s="18"/>
      <c r="J495" s="18"/>
      <c r="K495" s="53">
        <f>SUM(F495:J495)</f>
        <v>23658574.309999999</v>
      </c>
      <c r="L495" s="24" t="s">
        <v>289</v>
      </c>
      <c r="N495" s="216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6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2400690.5099999998</v>
      </c>
      <c r="G497" s="18"/>
      <c r="H497" s="18"/>
      <c r="I497" s="18"/>
      <c r="J497" s="18"/>
      <c r="K497" s="53">
        <f t="shared" si="35"/>
        <v>2400690.5099999998</v>
      </c>
      <c r="L497" s="24" t="s">
        <v>289</v>
      </c>
      <c r="N497" s="216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21257883.800000001</v>
      </c>
      <c r="G498" s="203"/>
      <c r="H498" s="203"/>
      <c r="I498" s="203"/>
      <c r="J498" s="203"/>
      <c r="K498" s="204">
        <f t="shared" si="35"/>
        <v>21257883.800000001</v>
      </c>
      <c r="L498" s="205" t="s">
        <v>289</v>
      </c>
      <c r="N498" s="216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1513761.75</v>
      </c>
      <c r="G499" s="18"/>
      <c r="H499" s="18"/>
      <c r="I499" s="18"/>
      <c r="J499" s="18"/>
      <c r="K499" s="53">
        <f t="shared" si="35"/>
        <v>1513761.75</v>
      </c>
      <c r="L499" s="24" t="s">
        <v>289</v>
      </c>
      <c r="N499" s="216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22771645.550000001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22771645.550000001</v>
      </c>
      <c r="L500" s="45" t="s">
        <v>289</v>
      </c>
      <c r="N500" s="216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2356900.2400000002</v>
      </c>
      <c r="G501" s="203"/>
      <c r="H501" s="203"/>
      <c r="I501" s="203"/>
      <c r="J501" s="203"/>
      <c r="K501" s="204">
        <f t="shared" si="35"/>
        <v>2356900.2400000002</v>
      </c>
      <c r="L501" s="205" t="s">
        <v>289</v>
      </c>
      <c r="N501" s="216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1481268.54</v>
      </c>
      <c r="G502" s="18"/>
      <c r="H502" s="18"/>
      <c r="I502" s="18"/>
      <c r="J502" s="18"/>
      <c r="K502" s="53">
        <f t="shared" si="35"/>
        <v>1481268.54</v>
      </c>
      <c r="L502" s="24" t="s">
        <v>289</v>
      </c>
      <c r="N502" s="216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3838168.7800000003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3838168.7800000003</v>
      </c>
      <c r="L503" s="45" t="s">
        <v>289</v>
      </c>
      <c r="N503" s="216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6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6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6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6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6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6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16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6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6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219957.23+811+84056.68+467542.13+5269+335543.23+2657.07+445767.35+1225+717.46</f>
        <v>1563546.15</v>
      </c>
      <c r="G521" s="18">
        <f>44712.75+1725.84+217.93+318.16+16380.65+18234.98+6406.15+1996.59+67059.3+3196.97+1021.5+1007.83+34323.23+32905.92+63871.94+2002.76+754.57+496.85+25791.33+20397.54+52947.42+2659.45+1157.7+923.56+33478.46+25865.29+540.61+525.94</f>
        <v>460921.22</v>
      </c>
      <c r="H521" s="18">
        <f>93966.02+29500.6+104861.38+6.49+126.22+9191.69+50.81+20629.99+375773.9+140352.75</f>
        <v>774459.85</v>
      </c>
      <c r="I521" s="18">
        <f>1285.16+6483.17</f>
        <v>7768.33</v>
      </c>
      <c r="J521" s="18"/>
      <c r="K521" s="18"/>
      <c r="L521" s="88">
        <f>SUM(F521:K521)</f>
        <v>2806695.55</v>
      </c>
      <c r="N521" s="216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1069240.03+5918</f>
        <v>1075158.03</v>
      </c>
      <c r="G522" s="18">
        <f>151245.36+6744.64+2451.62+2153.02+78805.59+71229</f>
        <v>312629.23</v>
      </c>
      <c r="H522" s="18">
        <f>128614.36+2.41+366067.9+86130.46</f>
        <v>580815.13</v>
      </c>
      <c r="I522" s="18">
        <v>4569.9799999999996</v>
      </c>
      <c r="J522" s="18"/>
      <c r="K522" s="18"/>
      <c r="L522" s="88">
        <f>SUM(F522:K522)</f>
        <v>1973172.37</v>
      </c>
      <c r="N522" s="216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795605.24+3996</f>
        <v>799601.24</v>
      </c>
      <c r="G523" s="18">
        <f>158166.09+5680.03+2437.99+1879.58+55605.36+49694.03</f>
        <v>273463.07999999996</v>
      </c>
      <c r="H523" s="18">
        <f>104021.83+2046.86+7.77+37003.7+349026.03+66568.38</f>
        <v>558674.57000000007</v>
      </c>
      <c r="I523" s="18">
        <v>4543.62</v>
      </c>
      <c r="J523" s="18"/>
      <c r="K523" s="18"/>
      <c r="L523" s="88">
        <f>SUM(F523:K523)</f>
        <v>1636282.51</v>
      </c>
      <c r="N523" s="216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3438305.42</v>
      </c>
      <c r="G524" s="108">
        <f t="shared" ref="G524:L524" si="36">SUM(G521:G523)</f>
        <v>1047013.5299999999</v>
      </c>
      <c r="H524" s="108">
        <f t="shared" si="36"/>
        <v>1913949.55</v>
      </c>
      <c r="I524" s="108">
        <f t="shared" si="36"/>
        <v>16881.93</v>
      </c>
      <c r="J524" s="108">
        <f t="shared" si="36"/>
        <v>0</v>
      </c>
      <c r="K524" s="108">
        <f t="shared" si="36"/>
        <v>0</v>
      </c>
      <c r="L524" s="89">
        <f t="shared" si="36"/>
        <v>6416150.4299999997</v>
      </c>
      <c r="N524" s="216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6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67135+785+56463+71619+60895+870+33467.44+25036.2+91126.9+617+26332.2</f>
        <v>434346.74000000005</v>
      </c>
      <c r="G526" s="18">
        <f>15053.58+483.08+68.1+127.63+5037.84+9617.43+20323.96+842.92+68.1+122.58+4095.99+7995.15+2292.92+461.12+68.1+127.63+5449.26+10141.11+15551.44+483.08+68.1+127.63+4451.33+8745.9+20323.96+895.24+68.1+92.58+2318.44+4738.96+4516.03+301.62+136.2+100.93+1876.93+3545.18+502.84+136.2+185.05+7018.29+9364.68+12194.32+321.4+68.1+56.61+1193.9</f>
        <v>181759.53999999995</v>
      </c>
      <c r="H526" s="18">
        <f>20199.5+37725.42</f>
        <v>57924.92</v>
      </c>
      <c r="I526" s="18"/>
      <c r="J526" s="18"/>
      <c r="K526" s="18"/>
      <c r="L526" s="88">
        <f>SUM(F526:K526)</f>
        <v>674031.20000000007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48229+65517+617+24958</f>
        <v>139321</v>
      </c>
      <c r="G527" s="18">
        <f>13601.77+488.4+68.1+103.68+3546.96+6829.27+7526.72+502.84+68.1+127.63+5002.05+1909.32+9364.68</f>
        <v>49139.520000000004</v>
      </c>
      <c r="H527" s="18">
        <f>5436.11</f>
        <v>5436.11</v>
      </c>
      <c r="I527" s="18"/>
      <c r="J527" s="18"/>
      <c r="K527" s="18"/>
      <c r="L527" s="88">
        <f>SUM(F527:K527)</f>
        <v>193896.63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70445.01+28586.93</f>
        <v>99031.94</v>
      </c>
      <c r="G528" s="18">
        <f>22015.19+842.94+68.1+5179.36+9974.99+3498.48+233.7+68.1+59.08+2079.83+127.63</f>
        <v>44147.399999999994</v>
      </c>
      <c r="H528" s="18">
        <f>6791.22</f>
        <v>6791.22</v>
      </c>
      <c r="I528" s="18"/>
      <c r="J528" s="18"/>
      <c r="K528" s="18"/>
      <c r="L528" s="88">
        <f>SUM(F528:K528)</f>
        <v>149970.56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672699.67999999993</v>
      </c>
      <c r="G529" s="89">
        <f t="shared" ref="G529:L529" si="37">SUM(G526:G528)</f>
        <v>275046.45999999996</v>
      </c>
      <c r="H529" s="89">
        <f t="shared" si="37"/>
        <v>70152.25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1017898.3900000001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(134447.46+11334+900)*0.39</f>
        <v>57205.769399999997</v>
      </c>
      <c r="G531" s="18">
        <f>(2169.6+272.4+252.96+11210.6+17516.74)*0.39</f>
        <v>12254.697000000002</v>
      </c>
      <c r="H531" s="18">
        <f>(5246.99+14673.55+2152.5+1269.66+1011.91+5079.41)*0.39</f>
        <v>11479.267800000001</v>
      </c>
      <c r="I531" s="18">
        <f>(3586.4+259.33+3522+1500)*0.39</f>
        <v>3458.4146999999998</v>
      </c>
      <c r="J531" s="18">
        <f>(14295.75+9029.26)*0.39</f>
        <v>9096.7539000000015</v>
      </c>
      <c r="K531" s="18">
        <f>4498.86*0.39</f>
        <v>1754.5554</v>
      </c>
      <c r="L531" s="88">
        <f>SUM(F531:K531)</f>
        <v>95249.458199999994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(134447.46+11334+900)*0.27</f>
        <v>39603.994200000001</v>
      </c>
      <c r="G532" s="18">
        <f>(2169.6+272.4+252.96+11210.6+17516.74)*0.27</f>
        <v>8484.0210000000006</v>
      </c>
      <c r="H532" s="18">
        <f>(5246.99+14673.55+2152.5+1269.66+1011.91+5079.41)*0.27</f>
        <v>7947.1854000000003</v>
      </c>
      <c r="I532" s="18">
        <f>(3586.4+259.33+3522+1500)*0.27</f>
        <v>2394.2871</v>
      </c>
      <c r="J532" s="18">
        <f>(14295.75+9029.26)*0.27</f>
        <v>6297.7527000000009</v>
      </c>
      <c r="K532" s="18">
        <f>4498.86*0.27</f>
        <v>1214.6922</v>
      </c>
      <c r="L532" s="88">
        <f>SUM(F532:K532)</f>
        <v>65941.932600000015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(134447.46+11334+900)*0.34</f>
        <v>49871.696400000001</v>
      </c>
      <c r="G533" s="18">
        <f>(2169.6+272.4+252.96+11210.6+17516.74)*0.34</f>
        <v>10683.582000000002</v>
      </c>
      <c r="H533" s="18">
        <f>(5246.99+14673.55+2152.5+1269.66+1011.91+5079.41)*0.34</f>
        <v>10007.566800000001</v>
      </c>
      <c r="I533" s="18">
        <f>(3586.4+259.33+3522+1500)*0.34</f>
        <v>3015.0282000000002</v>
      </c>
      <c r="J533" s="18">
        <f>(14295.75+9029.26)*0.34</f>
        <v>7930.5034000000014</v>
      </c>
      <c r="K533" s="18">
        <f>4498.86*0.34</f>
        <v>1529.6124</v>
      </c>
      <c r="L533" s="88">
        <f>SUM(F533:K533)</f>
        <v>83037.989200000011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146681.46000000002</v>
      </c>
      <c r="G534" s="89">
        <f t="shared" ref="G534:L534" si="38">SUM(G531:G533)</f>
        <v>31422.300000000003</v>
      </c>
      <c r="H534" s="89">
        <f t="shared" si="38"/>
        <v>29434.020000000004</v>
      </c>
      <c r="I534" s="89">
        <f t="shared" si="38"/>
        <v>8867.73</v>
      </c>
      <c r="J534" s="89">
        <f t="shared" si="38"/>
        <v>23325.010000000002</v>
      </c>
      <c r="K534" s="89">
        <f t="shared" si="38"/>
        <v>4498.8599999999997</v>
      </c>
      <c r="L534" s="89">
        <f t="shared" si="38"/>
        <v>244229.38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93966.02+29500.6+104861.38</f>
        <v>228328</v>
      </c>
      <c r="I541" s="18"/>
      <c r="J541" s="18"/>
      <c r="K541" s="18"/>
      <c r="L541" s="88">
        <f>SUM(F541:K541)</f>
        <v>228328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128614.36</v>
      </c>
      <c r="I542" s="18"/>
      <c r="J542" s="18"/>
      <c r="K542" s="18"/>
      <c r="L542" s="88">
        <f>SUM(F542:K542)</f>
        <v>128614.36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104021.83</v>
      </c>
      <c r="I543" s="18"/>
      <c r="J543" s="18"/>
      <c r="K543" s="18"/>
      <c r="L543" s="88">
        <f>SUM(F543:K543)</f>
        <v>104021.83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460964.19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460964.19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4257686.5599999996</v>
      </c>
      <c r="G545" s="89">
        <f t="shared" ref="G545:L545" si="41">G524+G529+G534+G539+G544</f>
        <v>1353482.2899999998</v>
      </c>
      <c r="H545" s="89">
        <f t="shared" si="41"/>
        <v>2474500.0100000002</v>
      </c>
      <c r="I545" s="89">
        <f t="shared" si="41"/>
        <v>25749.66</v>
      </c>
      <c r="J545" s="89">
        <f t="shared" si="41"/>
        <v>23325.010000000002</v>
      </c>
      <c r="K545" s="89">
        <f t="shared" si="41"/>
        <v>4498.8599999999997</v>
      </c>
      <c r="L545" s="89">
        <f t="shared" si="41"/>
        <v>8139242.3900000006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2806695.55</v>
      </c>
      <c r="G549" s="87">
        <f>L526</f>
        <v>674031.20000000007</v>
      </c>
      <c r="H549" s="87">
        <f>L531</f>
        <v>95249.458199999994</v>
      </c>
      <c r="I549" s="87">
        <f>L536</f>
        <v>0</v>
      </c>
      <c r="J549" s="87">
        <f>L541</f>
        <v>228328</v>
      </c>
      <c r="K549" s="87">
        <f>SUM(F549:J549)</f>
        <v>3804304.2082000002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1973172.37</v>
      </c>
      <c r="G550" s="87">
        <f>L527</f>
        <v>193896.63</v>
      </c>
      <c r="H550" s="87">
        <f>L532</f>
        <v>65941.932600000015</v>
      </c>
      <c r="I550" s="87">
        <f>L537</f>
        <v>0</v>
      </c>
      <c r="J550" s="87">
        <f>L542</f>
        <v>128614.36</v>
      </c>
      <c r="K550" s="87">
        <f>SUM(F550:J550)</f>
        <v>2361625.2925999998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1636282.51</v>
      </c>
      <c r="G551" s="87">
        <f>L528</f>
        <v>149970.56</v>
      </c>
      <c r="H551" s="87">
        <f>L533</f>
        <v>83037.989200000011</v>
      </c>
      <c r="I551" s="87">
        <f>L538</f>
        <v>0</v>
      </c>
      <c r="J551" s="87">
        <f>L543</f>
        <v>104021.83</v>
      </c>
      <c r="K551" s="87">
        <f>SUM(F551:J551)</f>
        <v>1973312.8892000001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6416150.4299999997</v>
      </c>
      <c r="G552" s="89">
        <f t="shared" si="42"/>
        <v>1017898.3900000001</v>
      </c>
      <c r="H552" s="89">
        <f t="shared" si="42"/>
        <v>244229.38</v>
      </c>
      <c r="I552" s="89">
        <f t="shared" si="42"/>
        <v>0</v>
      </c>
      <c r="J552" s="89">
        <f t="shared" si="42"/>
        <v>460964.19</v>
      </c>
      <c r="K552" s="89">
        <f t="shared" si="42"/>
        <v>8139242.3900000006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2050</v>
      </c>
      <c r="I575" s="87">
        <f>SUM(F575:H575)</f>
        <v>2050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20629.990000000002</v>
      </c>
      <c r="G579" s="18"/>
      <c r="H579" s="18">
        <v>37003.699999999997</v>
      </c>
      <c r="I579" s="87">
        <f t="shared" si="47"/>
        <v>57633.69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375773.9</v>
      </c>
      <c r="G582" s="18">
        <v>366067.9</v>
      </c>
      <c r="H582" s="18">
        <f>349026.03+1212.5</f>
        <v>350238.53</v>
      </c>
      <c r="I582" s="87">
        <f t="shared" si="47"/>
        <v>1092080.33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5193.68+7702.5</f>
        <v>12896.18</v>
      </c>
      <c r="I584" s="87">
        <f t="shared" si="47"/>
        <v>12896.18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448277.97</v>
      </c>
      <c r="I591" s="18">
        <v>310346.28000000003</v>
      </c>
      <c r="J591" s="18">
        <v>390806.43</v>
      </c>
      <c r="K591" s="104">
        <f t="shared" ref="K591:K597" si="48">SUM(H591:J591)</f>
        <v>1149430.68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228328</v>
      </c>
      <c r="I592" s="18">
        <v>128614.36</v>
      </c>
      <c r="J592" s="18">
        <v>104021.83</v>
      </c>
      <c r="K592" s="104">
        <f t="shared" si="48"/>
        <v>460964.19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26714.74+773.54+12800+25071.82+15284.18+403.36+6.78</f>
        <v>81054.42</v>
      </c>
      <c r="K593" s="104">
        <f t="shared" si="48"/>
        <v>81054.42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10025.32</v>
      </c>
      <c r="J594" s="18">
        <v>84142.63</v>
      </c>
      <c r="K594" s="104">
        <f t="shared" si="48"/>
        <v>94167.950000000012</v>
      </c>
      <c r="L594" s="24" t="s">
        <v>289</v>
      </c>
      <c r="M594" s="8"/>
      <c r="N594" s="269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f>572.07+6957.62</f>
        <v>7529.69</v>
      </c>
      <c r="K595" s="104">
        <f t="shared" si="48"/>
        <v>7529.69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676605.97</v>
      </c>
      <c r="I598" s="108">
        <f>SUM(I591:I597)</f>
        <v>448985.96</v>
      </c>
      <c r="J598" s="108">
        <f>SUM(J591:J597)</f>
        <v>667555</v>
      </c>
      <c r="K598" s="108">
        <f>SUM(K591:K597)</f>
        <v>1793146.9299999997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>
        <v>16588</v>
      </c>
      <c r="K602" s="104">
        <f>SUM(H602:J602)</f>
        <v>16588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114538.72+6031.98+469.99+325+4526.11+2687.1</f>
        <v>128578.90000000001</v>
      </c>
      <c r="I604" s="18">
        <f>79296.04+25226.5+3133.46+1860.3</f>
        <v>109516.3</v>
      </c>
      <c r="J604" s="18">
        <f>99854.27+8934.25+46803.5+770+47326+3945.84+2342.6</f>
        <v>209976.46000000002</v>
      </c>
      <c r="K604" s="104">
        <f>SUM(H604:J604)</f>
        <v>448071.66000000003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128578.90000000001</v>
      </c>
      <c r="I605" s="108">
        <f>SUM(I602:I604)</f>
        <v>109516.3</v>
      </c>
      <c r="J605" s="108">
        <f>SUM(J602:J604)</f>
        <v>226564.46000000002</v>
      </c>
      <c r="K605" s="108">
        <f>SUM(K602:K604)</f>
        <v>464659.66000000003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4412.46</v>
      </c>
      <c r="G611" s="18">
        <f>328.3+525.94</f>
        <v>854.24</v>
      </c>
      <c r="H611" s="18"/>
      <c r="I611" s="18"/>
      <c r="J611" s="18"/>
      <c r="K611" s="18"/>
      <c r="L611" s="88">
        <f>SUM(F611:K611)</f>
        <v>5266.7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1175+5250+15559.33</f>
        <v>21984.33</v>
      </c>
      <c r="G613" s="18">
        <f>32.93+89.89+401.9+1174.76+166.38+2203.19</f>
        <v>4069.05</v>
      </c>
      <c r="H613" s="18"/>
      <c r="I613" s="18"/>
      <c r="J613" s="18"/>
      <c r="K613" s="18"/>
      <c r="L613" s="88">
        <f>SUM(F613:K613)</f>
        <v>26053.38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26396.79</v>
      </c>
      <c r="G614" s="108">
        <f t="shared" si="49"/>
        <v>4923.29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31320.080000000002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4436653.7300000004</v>
      </c>
      <c r="H617" s="109">
        <f>SUM(F52)</f>
        <v>4436653.7300000004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1166063.5899999999</v>
      </c>
      <c r="H618" s="109">
        <f>SUM(G52)</f>
        <v>1166063.5899999999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3188305.2600000007</v>
      </c>
      <c r="H619" s="109">
        <f>SUM(H52)</f>
        <v>3188305.2599999993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1128201.46</v>
      </c>
      <c r="H621" s="109">
        <f>SUM(J52)</f>
        <v>1128201.46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1554926.21</v>
      </c>
      <c r="H622" s="109">
        <f>F476</f>
        <v>1554926.2100000009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464376.07</v>
      </c>
      <c r="H623" s="109">
        <f>G476</f>
        <v>464376.07000000007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345982.32</v>
      </c>
      <c r="H624" s="109">
        <f>H476</f>
        <v>345982.3200000003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1110984.46</v>
      </c>
      <c r="H626" s="109">
        <f>J476</f>
        <v>1110984.46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46449546.890000001</v>
      </c>
      <c r="H627" s="104">
        <f>SUM(F468)</f>
        <v>46449546.890000001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1476019.5300000003</v>
      </c>
      <c r="H628" s="104">
        <f>SUM(G468)</f>
        <v>1476019.53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3654441.85</v>
      </c>
      <c r="H629" s="104">
        <f>SUM(H468)</f>
        <v>3654441.85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267917.76</v>
      </c>
      <c r="H631" s="104">
        <f>SUM(J468)</f>
        <v>267917.76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45631069.110000007</v>
      </c>
      <c r="H632" s="104">
        <f>SUM(F472)</f>
        <v>45631069.109999999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3603095.8599999994</v>
      </c>
      <c r="H633" s="104">
        <f>SUM(H472)</f>
        <v>3603095.86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1794.35</v>
      </c>
      <c r="H634" s="104">
        <f>I369</f>
        <v>1794.35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1356206.9900000002</v>
      </c>
      <c r="H635" s="104">
        <f>SUM(G472)</f>
        <v>1356206.99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267917.76</v>
      </c>
      <c r="H637" s="164">
        <f>SUM(J468)</f>
        <v>267917.76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200000</v>
      </c>
      <c r="H638" s="164">
        <f>SUM(J472)</f>
        <v>200000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1128201.46</v>
      </c>
      <c r="H639" s="104">
        <f>SUM(F461)</f>
        <v>1128201.46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1128201.46</v>
      </c>
      <c r="H642" s="104">
        <f>SUM(I461)</f>
        <v>1128201.46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51.69</v>
      </c>
      <c r="H644" s="104">
        <f>H408</f>
        <v>51.69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267866.07</v>
      </c>
      <c r="H645" s="104">
        <f>G408</f>
        <v>267866.07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267917.76</v>
      </c>
      <c r="H646" s="104">
        <f>L408</f>
        <v>267917.76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1793146.9299999997</v>
      </c>
      <c r="H647" s="104">
        <f>L208+L226+L244</f>
        <v>1793146.93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464659.66000000003</v>
      </c>
      <c r="H648" s="104">
        <f>(J257+J338)-(J255+J336)</f>
        <v>464659.66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676605.97</v>
      </c>
      <c r="H649" s="104">
        <f>H598</f>
        <v>676605.97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448985.96</v>
      </c>
      <c r="H650" s="104">
        <f>I598</f>
        <v>448985.96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667555</v>
      </c>
      <c r="H651" s="104">
        <f>J598</f>
        <v>667555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392700</v>
      </c>
      <c r="H653" s="104">
        <f>K264</f>
        <v>392700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16975957.77</v>
      </c>
      <c r="G660" s="19">
        <f>(L229+L309+L359)</f>
        <v>11459418.360000003</v>
      </c>
      <c r="H660" s="19">
        <f>(L247+L328+L360)</f>
        <v>16798496.860000003</v>
      </c>
      <c r="I660" s="19">
        <f>SUM(F660:H660)</f>
        <v>45233872.99000001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311307.33698113501</v>
      </c>
      <c r="G661" s="19">
        <f>(L359/IF(SUM(L358:L360)=0,1,SUM(L358:L360))*(SUM(G97:G110)))</f>
        <v>215520.45410343265</v>
      </c>
      <c r="H661" s="19">
        <f>(L360/IF(SUM(L358:L360)=0,1,SUM(L358:L360))*(SUM(G97:G110)))</f>
        <v>271396.12891543226</v>
      </c>
      <c r="I661" s="19">
        <f>SUM(F661:H661)</f>
        <v>798223.91999999993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680605.97</v>
      </c>
      <c r="G662" s="19">
        <f>(L226+L306)-(J226+J306)</f>
        <v>448985.96</v>
      </c>
      <c r="H662" s="19">
        <f>(L244+L325)-(J244+J325)</f>
        <v>667555</v>
      </c>
      <c r="I662" s="19">
        <f>SUM(F662:H662)</f>
        <v>1797146.93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530249.49</v>
      </c>
      <c r="G663" s="198">
        <f>SUM(G575:G587)+SUM(I602:I604)+L612</f>
        <v>475584.2</v>
      </c>
      <c r="H663" s="198">
        <f>SUM(H575:H587)+SUM(J602:J604)+L613</f>
        <v>654806.25000000012</v>
      </c>
      <c r="I663" s="19">
        <f>SUM(F663:H663)</f>
        <v>1660639.94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15453794.973018864</v>
      </c>
      <c r="G664" s="19">
        <f>G660-SUM(G661:G663)</f>
        <v>10319327.74589657</v>
      </c>
      <c r="H664" s="19">
        <f>H660-SUM(H661:H663)</f>
        <v>15204739.48108457</v>
      </c>
      <c r="I664" s="19">
        <f>I660-SUM(I661:I663)</f>
        <v>40977862.20000001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1574.17</v>
      </c>
      <c r="G665" s="247">
        <v>1116.69</v>
      </c>
      <c r="H665" s="247">
        <v>1296.07</v>
      </c>
      <c r="I665" s="19">
        <f>SUM(F665:H665)</f>
        <v>3986.9300000000003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9817.11</v>
      </c>
      <c r="G667" s="19">
        <f>ROUND(G664/G665,2)</f>
        <v>9241</v>
      </c>
      <c r="H667" s="19">
        <f>ROUND(H664/H665,2)</f>
        <v>11731.42</v>
      </c>
      <c r="I667" s="19">
        <f>ROUND(I664/I665,2)</f>
        <v>10278.049999999999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28.77</v>
      </c>
      <c r="I670" s="19">
        <f>SUM(F670:H670)</f>
        <v>28.77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9817.11</v>
      </c>
      <c r="G672" s="19">
        <f>ROUND((G664+G669)/(G665+G670),2)</f>
        <v>9241</v>
      </c>
      <c r="H672" s="19">
        <f>ROUND((H664+H669)/(H665+H670),2)</f>
        <v>11476.66</v>
      </c>
      <c r="I672" s="19">
        <f>ROUND((I664+I669)/(I665+I670),2)</f>
        <v>10204.41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1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Dover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12472168.310000001</v>
      </c>
      <c r="C9" s="228">
        <f>'DOE25'!G197+'DOE25'!G215+'DOE25'!G233+'DOE25'!G276+'DOE25'!G295+'DOE25'!G314</f>
        <v>5952284.8099999996</v>
      </c>
    </row>
    <row r="10" spans="1:3" x14ac:dyDescent="0.2">
      <c r="A10" t="s">
        <v>779</v>
      </c>
      <c r="B10" s="239">
        <v>9984729.8800000008</v>
      </c>
      <c r="C10" s="239">
        <f>4761687.37+175.6</f>
        <v>4761862.97</v>
      </c>
    </row>
    <row r="11" spans="1:3" x14ac:dyDescent="0.2">
      <c r="A11" t="s">
        <v>780</v>
      </c>
      <c r="B11" s="239">
        <v>761206.47</v>
      </c>
      <c r="C11" s="239">
        <v>357126.55</v>
      </c>
    </row>
    <row r="12" spans="1:3" x14ac:dyDescent="0.2">
      <c r="A12" t="s">
        <v>781</v>
      </c>
      <c r="B12" s="239">
        <v>1726231.96</v>
      </c>
      <c r="C12" s="239">
        <v>833295.29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12472168.310000002</v>
      </c>
      <c r="C13" s="230">
        <f>SUM(C10:C12)</f>
        <v>5952284.8099999996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4857140.18</v>
      </c>
      <c r="C18" s="228">
        <f>'DOE25'!G198+'DOE25'!G216+'DOE25'!G234+'DOE25'!G277+'DOE25'!G296+'DOE25'!G315</f>
        <v>1562054.22</v>
      </c>
    </row>
    <row r="19" spans="1:3" x14ac:dyDescent="0.2">
      <c r="A19" t="s">
        <v>779</v>
      </c>
      <c r="B19" s="239">
        <v>1755017.36</v>
      </c>
      <c r="C19" s="239">
        <v>551155.31000000006</v>
      </c>
    </row>
    <row r="20" spans="1:3" x14ac:dyDescent="0.2">
      <c r="A20" t="s">
        <v>780</v>
      </c>
      <c r="B20" s="239">
        <v>2103740.9900000002</v>
      </c>
      <c r="C20" s="239">
        <v>684300.80000000005</v>
      </c>
    </row>
    <row r="21" spans="1:3" x14ac:dyDescent="0.2">
      <c r="A21" t="s">
        <v>781</v>
      </c>
      <c r="B21" s="239">
        <v>998381.83</v>
      </c>
      <c r="C21" s="239">
        <v>326598.11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4857140.1800000006</v>
      </c>
      <c r="C22" s="230">
        <f>SUM(C19:C21)</f>
        <v>1562054.2200000002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1318679.8700000001</v>
      </c>
      <c r="C27" s="233">
        <f>'DOE25'!G199+'DOE25'!G217+'DOE25'!G235+'DOE25'!G278+'DOE25'!G297+'DOE25'!G316</f>
        <v>618986.87</v>
      </c>
    </row>
    <row r="28" spans="1:3" x14ac:dyDescent="0.2">
      <c r="A28" t="s">
        <v>779</v>
      </c>
      <c r="B28" s="239">
        <v>1032266.94</v>
      </c>
      <c r="C28" s="239">
        <v>482809.76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286412.93</v>
      </c>
      <c r="C30" s="239">
        <v>136177.10999999999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1318679.8699999999</v>
      </c>
      <c r="C31" s="230">
        <f>SUM(C28:C30)</f>
        <v>618986.87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321526.21000000002</v>
      </c>
      <c r="C36" s="234">
        <f>'DOE25'!G200+'DOE25'!G218+'DOE25'!G236+'DOE25'!G279+'DOE25'!G298+'DOE25'!G317</f>
        <v>79293.17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2367.63</v>
      </c>
      <c r="C38" s="239">
        <v>558.15</v>
      </c>
    </row>
    <row r="39" spans="1:3" x14ac:dyDescent="0.2">
      <c r="A39" t="s">
        <v>781</v>
      </c>
      <c r="B39" s="239">
        <v>319158.58</v>
      </c>
      <c r="C39" s="239">
        <v>78735.02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321526.21000000002</v>
      </c>
      <c r="C40" s="230">
        <f>SUM(C37:C39)</f>
        <v>79293.17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Dover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27942432.280000001</v>
      </c>
      <c r="D5" s="20">
        <f>SUM('DOE25'!L197:L200)+SUM('DOE25'!L215:L218)+SUM('DOE25'!L233:L236)-F5-G5</f>
        <v>27713553.210000001</v>
      </c>
      <c r="E5" s="242"/>
      <c r="F5" s="254">
        <f>SUM('DOE25'!J197:J200)+SUM('DOE25'!J215:J218)+SUM('DOE25'!J233:J236)</f>
        <v>183186.11</v>
      </c>
      <c r="G5" s="53">
        <f>SUM('DOE25'!K197:K200)+SUM('DOE25'!K215:K218)+SUM('DOE25'!K233:K236)</f>
        <v>45692.959999999999</v>
      </c>
      <c r="H5" s="258"/>
    </row>
    <row r="6" spans="1:9" x14ac:dyDescent="0.2">
      <c r="A6" s="32">
        <v>2100</v>
      </c>
      <c r="B6" t="s">
        <v>801</v>
      </c>
      <c r="C6" s="244">
        <f t="shared" si="0"/>
        <v>2597425.34</v>
      </c>
      <c r="D6" s="20">
        <f>'DOE25'!L202+'DOE25'!L220+'DOE25'!L238-F6-G6</f>
        <v>2596649.3499999996</v>
      </c>
      <c r="E6" s="242"/>
      <c r="F6" s="254">
        <f>'DOE25'!J202+'DOE25'!J220+'DOE25'!J238</f>
        <v>775.99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944683.34000000008</v>
      </c>
      <c r="D7" s="20">
        <f>'DOE25'!L203+'DOE25'!L221+'DOE25'!L239-F7-G7</f>
        <v>873624.3600000001</v>
      </c>
      <c r="E7" s="242"/>
      <c r="F7" s="254">
        <f>'DOE25'!J203+'DOE25'!J221+'DOE25'!J239</f>
        <v>70513.39</v>
      </c>
      <c r="G7" s="53">
        <f>'DOE25'!K203+'DOE25'!K221+'DOE25'!K239</f>
        <v>545.59</v>
      </c>
      <c r="H7" s="258"/>
    </row>
    <row r="8" spans="1:9" x14ac:dyDescent="0.2">
      <c r="A8" s="32">
        <v>2300</v>
      </c>
      <c r="B8" t="s">
        <v>802</v>
      </c>
      <c r="C8" s="244">
        <f t="shared" si="0"/>
        <v>646799.68999999983</v>
      </c>
      <c r="D8" s="242"/>
      <c r="E8" s="20">
        <f>'DOE25'!L204+'DOE25'!L222+'DOE25'!L240-F8-G8-D9-D11</f>
        <v>631183.26999999979</v>
      </c>
      <c r="F8" s="254">
        <f>'DOE25'!J204+'DOE25'!J222+'DOE25'!J240</f>
        <v>0</v>
      </c>
      <c r="G8" s="53">
        <f>'DOE25'!K204+'DOE25'!K222+'DOE25'!K240</f>
        <v>15616.42</v>
      </c>
      <c r="H8" s="258"/>
    </row>
    <row r="9" spans="1:9" x14ac:dyDescent="0.2">
      <c r="A9" s="32">
        <v>2310</v>
      </c>
      <c r="B9" t="s">
        <v>818</v>
      </c>
      <c r="C9" s="244">
        <f t="shared" si="0"/>
        <v>89151.52</v>
      </c>
      <c r="D9" s="243">
        <v>89151.52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22000</v>
      </c>
      <c r="D10" s="242"/>
      <c r="E10" s="243">
        <v>22000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238864.15999999997</v>
      </c>
      <c r="D11" s="243">
        <f>129876.92+49220+23178.18+36589.06</f>
        <v>238864.15999999997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2064986.75</v>
      </c>
      <c r="D12" s="20">
        <f>'DOE25'!L205+'DOE25'!L223+'DOE25'!L241-F12-G12</f>
        <v>2051792.55</v>
      </c>
      <c r="E12" s="242"/>
      <c r="F12" s="254">
        <f>'DOE25'!J205+'DOE25'!J223+'DOE25'!J241</f>
        <v>495</v>
      </c>
      <c r="G12" s="53">
        <f>'DOE25'!K205+'DOE25'!K223+'DOE25'!K241</f>
        <v>12699.2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3803273.6300000004</v>
      </c>
      <c r="D14" s="20">
        <f>'DOE25'!L207+'DOE25'!L225+'DOE25'!L243-F14-G14</f>
        <v>3778047.1300000004</v>
      </c>
      <c r="E14" s="242"/>
      <c r="F14" s="254">
        <f>'DOE25'!J207+'DOE25'!J225+'DOE25'!J243</f>
        <v>25226.5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1793146.93</v>
      </c>
      <c r="D15" s="20">
        <f>'DOE25'!L208+'DOE25'!L226+'DOE25'!L244-F15-G15</f>
        <v>1793146.93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902758.60999999987</v>
      </c>
      <c r="D16" s="242"/>
      <c r="E16" s="20">
        <f>'DOE25'!L209+'DOE25'!L227+'DOE25'!L245-F16-G16</f>
        <v>768207.42999999993</v>
      </c>
      <c r="F16" s="254">
        <f>'DOE25'!J209+'DOE25'!J227+'DOE25'!J245</f>
        <v>131573.66999999998</v>
      </c>
      <c r="G16" s="53">
        <f>'DOE25'!K209+'DOE25'!K227+'DOE25'!K245</f>
        <v>2977.5099999999998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200393.60000000001</v>
      </c>
      <c r="D17" s="20">
        <f>'DOE25'!L251-F17-G17</f>
        <v>200393.60000000001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3914453.26</v>
      </c>
      <c r="D25" s="242"/>
      <c r="E25" s="242"/>
      <c r="F25" s="257"/>
      <c r="G25" s="255"/>
      <c r="H25" s="256">
        <f>'DOE25'!L260+'DOE25'!L261+'DOE25'!L341+'DOE25'!L342</f>
        <v>3914453.26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1354412.6400000001</v>
      </c>
      <c r="D29" s="20">
        <f>'DOE25'!L358+'DOE25'!L359+'DOE25'!L360-'DOE25'!I367-F29-G29</f>
        <v>1352955.82</v>
      </c>
      <c r="E29" s="242"/>
      <c r="F29" s="254">
        <f>'DOE25'!J358+'DOE25'!J359+'DOE25'!J360</f>
        <v>0</v>
      </c>
      <c r="G29" s="53">
        <f>'DOE25'!K358+'DOE25'!K359+'DOE25'!K360</f>
        <v>1456.82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3603095.8599999994</v>
      </c>
      <c r="D31" s="20">
        <f>'DOE25'!L290+'DOE25'!L309+'DOE25'!L328+'DOE25'!L333+'DOE25'!L334+'DOE25'!L335-F31-G31</f>
        <v>3519513.5999999996</v>
      </c>
      <c r="E31" s="242"/>
      <c r="F31" s="254">
        <f>'DOE25'!J290+'DOE25'!J309+'DOE25'!J328+'DOE25'!J333+'DOE25'!J334+'DOE25'!J335</f>
        <v>52889</v>
      </c>
      <c r="G31" s="53">
        <f>'DOE25'!K290+'DOE25'!K309+'DOE25'!K328+'DOE25'!K333+'DOE25'!K334+'DOE25'!K335</f>
        <v>30693.260000000002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44207692.230000004</v>
      </c>
      <c r="E33" s="245">
        <f>SUM(E5:E31)</f>
        <v>1421390.6999999997</v>
      </c>
      <c r="F33" s="245">
        <f>SUM(F5:F31)</f>
        <v>464659.66</v>
      </c>
      <c r="G33" s="245">
        <f>SUM(G5:G31)</f>
        <v>109681.76000000001</v>
      </c>
      <c r="H33" s="245">
        <f>SUM(H5:H31)</f>
        <v>3914453.26</v>
      </c>
    </row>
    <row r="35" spans="2:8" ht="12" thickBot="1" x14ac:dyDescent="0.25">
      <c r="B35" s="252" t="s">
        <v>847</v>
      </c>
      <c r="D35" s="253">
        <f>E33</f>
        <v>1421390.6999999997</v>
      </c>
      <c r="E35" s="248"/>
    </row>
    <row r="36" spans="2:8" ht="12" thickTop="1" x14ac:dyDescent="0.2">
      <c r="B36" t="s">
        <v>815</v>
      </c>
      <c r="D36" s="20">
        <f>D33</f>
        <v>44207692.230000004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56" sqref="C5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144966.29999999999</v>
      </c>
      <c r="E8" s="95">
        <f>'DOE25'!H9</f>
        <v>0</v>
      </c>
      <c r="F8" s="95">
        <f>'DOE25'!I9</f>
        <v>0</v>
      </c>
      <c r="G8" s="95">
        <f>'DOE25'!J9</f>
        <v>596208.79999999993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933592.37</v>
      </c>
      <c r="E11" s="95">
        <f>'DOE25'!H12</f>
        <v>1988772.2100000004</v>
      </c>
      <c r="F11" s="95">
        <f>'DOE25'!I12</f>
        <v>0</v>
      </c>
      <c r="G11" s="95">
        <f>'DOE25'!J12</f>
        <v>287685.69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48964.959999999999</v>
      </c>
      <c r="E12" s="95">
        <f>'DOE25'!H13</f>
        <v>1177651.01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559572.31000000006</v>
      </c>
      <c r="D13" s="95">
        <f>'DOE25'!G14</f>
        <v>32002.18</v>
      </c>
      <c r="E13" s="95">
        <f>'DOE25'!H14</f>
        <v>21882.04</v>
      </c>
      <c r="F13" s="95">
        <f>'DOE25'!I14</f>
        <v>0</v>
      </c>
      <c r="G13" s="95">
        <f>'DOE25'!J14</f>
        <v>244306.96999999997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6537.78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16017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3861064.42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4436653.7300000004</v>
      </c>
      <c r="D18" s="41">
        <f>SUM(D8:D17)</f>
        <v>1166063.5899999999</v>
      </c>
      <c r="E18" s="41">
        <f>SUM(E8:E17)</f>
        <v>3188305.2600000007</v>
      </c>
      <c r="F18" s="41">
        <f>SUM(F8:F17)</f>
        <v>0</v>
      </c>
      <c r="G18" s="41">
        <f>SUM(G8:G17)</f>
        <v>1128201.46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669220.25</v>
      </c>
      <c r="E21" s="95">
        <f>'DOE25'!H22</f>
        <v>2560818.2699999996</v>
      </c>
      <c r="F21" s="95">
        <f>'DOE25'!I22</f>
        <v>0</v>
      </c>
      <c r="G21" s="95">
        <f>'DOE25'!J22</f>
        <v>17217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188638.73</v>
      </c>
      <c r="D23" s="95">
        <f>'DOE25'!G24</f>
        <v>240.59</v>
      </c>
      <c r="E23" s="95">
        <f>'DOE25'!H24</f>
        <v>16446.870000000003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2623524.4500000002</v>
      </c>
      <c r="D27" s="95">
        <f>'DOE25'!G28</f>
        <v>19.36</v>
      </c>
      <c r="E27" s="95">
        <f>'DOE25'!H28</f>
        <v>265057.80000000005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32207.32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69564.34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2881727.52</v>
      </c>
      <c r="D31" s="41">
        <f>SUM(D21:D30)</f>
        <v>701687.5199999999</v>
      </c>
      <c r="E31" s="41">
        <f>SUM(E21:E30)</f>
        <v>2842322.9399999995</v>
      </c>
      <c r="F31" s="41">
        <f>SUM(F21:F30)</f>
        <v>0</v>
      </c>
      <c r="G31" s="41">
        <f>SUM(G21:G30)</f>
        <v>17217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-6537.78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467913.85000000003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917444.95</v>
      </c>
      <c r="D47" s="95">
        <f>'DOE25'!G48</f>
        <v>0</v>
      </c>
      <c r="E47" s="95">
        <f>'DOE25'!H48</f>
        <v>345982.32</v>
      </c>
      <c r="F47" s="95">
        <f>'DOE25'!I48</f>
        <v>0</v>
      </c>
      <c r="G47" s="95">
        <f>'DOE25'!J48</f>
        <v>1050922.3599999999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637481.26</v>
      </c>
      <c r="D48" s="95">
        <f>'DOE25'!G49</f>
        <v>3000</v>
      </c>
      <c r="E48" s="95">
        <f>'DOE25'!H49</f>
        <v>0</v>
      </c>
      <c r="F48" s="95">
        <f>'DOE25'!I49</f>
        <v>0</v>
      </c>
      <c r="G48" s="95">
        <f>'DOE25'!J49</f>
        <v>60062.1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1554926.21</v>
      </c>
      <c r="D50" s="41">
        <f>SUM(D34:D49)</f>
        <v>464376.07</v>
      </c>
      <c r="E50" s="41">
        <f>SUM(E34:E49)</f>
        <v>345982.32</v>
      </c>
      <c r="F50" s="41">
        <f>SUM(F34:F49)</f>
        <v>0</v>
      </c>
      <c r="G50" s="41">
        <f>SUM(G34:G49)</f>
        <v>1110984.46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4436653.7300000004</v>
      </c>
      <c r="D51" s="41">
        <f>D50+D31</f>
        <v>1166063.5899999999</v>
      </c>
      <c r="E51" s="41">
        <f>E50+E31</f>
        <v>3188305.2599999993</v>
      </c>
      <c r="F51" s="41">
        <f>F50+F31</f>
        <v>0</v>
      </c>
      <c r="G51" s="41">
        <f>G50+G31</f>
        <v>1128201.46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27934161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3521335.35</v>
      </c>
      <c r="D57" s="24" t="s">
        <v>289</v>
      </c>
      <c r="E57" s="95">
        <f>'DOE25'!H79</f>
        <v>292567.59999999998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61301.229999999996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51.69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792969.03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29020.15</v>
      </c>
      <c r="D61" s="95">
        <f>SUM('DOE25'!G98:G110)</f>
        <v>5254.89</v>
      </c>
      <c r="E61" s="95">
        <f>SUM('DOE25'!H98:H110)</f>
        <v>169916.97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3611656.73</v>
      </c>
      <c r="D62" s="130">
        <f>SUM(D57:D61)</f>
        <v>798223.92</v>
      </c>
      <c r="E62" s="130">
        <f>SUM(E57:E61)</f>
        <v>462484.56999999995</v>
      </c>
      <c r="F62" s="130">
        <f>SUM(F57:F61)</f>
        <v>0</v>
      </c>
      <c r="G62" s="130">
        <f>SUM(G57:G61)</f>
        <v>51.69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31545817.73</v>
      </c>
      <c r="D63" s="22">
        <f>D56+D62</f>
        <v>798223.92</v>
      </c>
      <c r="E63" s="22">
        <f>E56+E62</f>
        <v>462484.56999999995</v>
      </c>
      <c r="F63" s="22">
        <f>F56+F62</f>
        <v>0</v>
      </c>
      <c r="G63" s="22">
        <f>G56+G62</f>
        <v>51.69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6535665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6533850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13069515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709049.94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151112.24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240487.53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48111.3</v>
      </c>
      <c r="D77" s="95">
        <f>SUM('DOE25'!G131:G135)</f>
        <v>20966.310000000001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1148761.01</v>
      </c>
      <c r="D78" s="130">
        <f>SUM(D72:D77)</f>
        <v>20966.310000000001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14218276.01</v>
      </c>
      <c r="D81" s="130">
        <f>SUM(D79:D80)+D78+D70</f>
        <v>20966.310000000001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3181.1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458164.33</v>
      </c>
      <c r="D88" s="95">
        <f>SUM('DOE25'!G153:G161)</f>
        <v>656829.30000000005</v>
      </c>
      <c r="E88" s="95">
        <f>SUM('DOE25'!H153:H161)</f>
        <v>2799257.2800000003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24107.72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485453.15</v>
      </c>
      <c r="D91" s="131">
        <f>SUM(D85:D90)</f>
        <v>656829.30000000005</v>
      </c>
      <c r="E91" s="131">
        <f>SUM(E85:E90)</f>
        <v>2799257.2800000003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392700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167866.07</v>
      </c>
    </row>
    <row r="99" spans="1:7" x14ac:dyDescent="0.2">
      <c r="A99" t="s">
        <v>760</v>
      </c>
      <c r="B99" s="32">
        <v>5251</v>
      </c>
      <c r="C99" s="95">
        <f>'DOE25'!F185</f>
        <v>200000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200000</v>
      </c>
      <c r="D103" s="86">
        <f>SUM(D93:D102)</f>
        <v>0</v>
      </c>
      <c r="E103" s="86">
        <f>SUM(E93:E102)</f>
        <v>392700</v>
      </c>
      <c r="F103" s="86">
        <f>SUM(F93:F102)</f>
        <v>0</v>
      </c>
      <c r="G103" s="86">
        <f>SUM(G93:G102)</f>
        <v>267866.07</v>
      </c>
    </row>
    <row r="104" spans="1:7" ht="12.75" thickTop="1" thickBot="1" x14ac:dyDescent="0.25">
      <c r="A104" s="33" t="s">
        <v>765</v>
      </c>
      <c r="C104" s="86">
        <f>C63+C81+C91+C103</f>
        <v>46449546.890000001</v>
      </c>
      <c r="D104" s="86">
        <f>D63+D81+D91+D103</f>
        <v>1476019.5300000003</v>
      </c>
      <c r="E104" s="86">
        <f>E63+E81+E91+E103</f>
        <v>3654441.85</v>
      </c>
      <c r="F104" s="86">
        <f>F63+F81+F91+F103</f>
        <v>0</v>
      </c>
      <c r="G104" s="86">
        <f>G63+G81+G103</f>
        <v>267917.76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18944188.91</v>
      </c>
      <c r="D109" s="24" t="s">
        <v>289</v>
      </c>
      <c r="E109" s="95">
        <f>('DOE25'!L276)+('DOE25'!L295)+('DOE25'!L314)</f>
        <v>4487.49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6177926.6799999997</v>
      </c>
      <c r="D110" s="24" t="s">
        <v>289</v>
      </c>
      <c r="E110" s="95">
        <f>('DOE25'!L277)+('DOE25'!L296)+('DOE25'!L315)</f>
        <v>1996659.4299999997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2262290.48</v>
      </c>
      <c r="D111" s="24" t="s">
        <v>289</v>
      </c>
      <c r="E111" s="95">
        <f>('DOE25'!L278)+('DOE25'!L297)+('DOE25'!L316)</f>
        <v>55649.120000000003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558026.21</v>
      </c>
      <c r="D112" s="24" t="s">
        <v>289</v>
      </c>
      <c r="E112" s="95">
        <f>+('DOE25'!L279)+('DOE25'!L298)+('DOE25'!L317)</f>
        <v>18519.84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200393.60000000001</v>
      </c>
      <c r="D114" s="24" t="s">
        <v>289</v>
      </c>
      <c r="E114" s="95">
        <f>+ SUM('DOE25'!L333:L335)</f>
        <v>748952.1100000001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28142825.880000003</v>
      </c>
      <c r="D115" s="86">
        <f>SUM(D109:D114)</f>
        <v>0</v>
      </c>
      <c r="E115" s="86">
        <f>SUM(E109:E114)</f>
        <v>2824267.99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2597425.34</v>
      </c>
      <c r="D118" s="24" t="s">
        <v>289</v>
      </c>
      <c r="E118" s="95">
        <f>+('DOE25'!L281)+('DOE25'!L300)+('DOE25'!L319)</f>
        <v>122188.21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944683.34000000008</v>
      </c>
      <c r="D119" s="24" t="s">
        <v>289</v>
      </c>
      <c r="E119" s="95">
        <f>+('DOE25'!L282)+('DOE25'!L301)+('DOE25'!L320)</f>
        <v>326517.39999999991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974815.36999999988</v>
      </c>
      <c r="D120" s="24" t="s">
        <v>289</v>
      </c>
      <c r="E120" s="95">
        <f>+('DOE25'!L283)+('DOE25'!L302)+('DOE25'!L321)</f>
        <v>1890.08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2064986.75</v>
      </c>
      <c r="D121" s="24" t="s">
        <v>289</v>
      </c>
      <c r="E121" s="95">
        <f>+('DOE25'!L284)+('DOE25'!L303)+('DOE25'!L322)</f>
        <v>116074.54999999999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3803273.6300000004</v>
      </c>
      <c r="D123" s="24" t="s">
        <v>289</v>
      </c>
      <c r="E123" s="95">
        <f>+('DOE25'!L286)+('DOE25'!L305)+('DOE25'!L324)</f>
        <v>192634.96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1793146.93</v>
      </c>
      <c r="D124" s="24" t="s">
        <v>289</v>
      </c>
      <c r="E124" s="95">
        <f>+('DOE25'!L287)+('DOE25'!L306)+('DOE25'!L325)</f>
        <v>4000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902758.60999999987</v>
      </c>
      <c r="D125" s="24" t="s">
        <v>289</v>
      </c>
      <c r="E125" s="95">
        <f>+('DOE25'!L288)+('DOE25'!L307)+('DOE25'!L326)</f>
        <v>15522.67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1356206.9900000002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13081089.969999999</v>
      </c>
      <c r="D128" s="86">
        <f>SUM(D118:D127)</f>
        <v>1356206.9900000002</v>
      </c>
      <c r="E128" s="86">
        <f>SUM(E118:E127)</f>
        <v>778827.87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2400691.5099999998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1513761.75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392700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267917.76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-167917.76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4407153.26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200000</v>
      </c>
    </row>
    <row r="145" spans="1:9" ht="12.75" thickTop="1" thickBot="1" x14ac:dyDescent="0.25">
      <c r="A145" s="33" t="s">
        <v>244</v>
      </c>
      <c r="C145" s="86">
        <f>(C115+C128+C144)</f>
        <v>45631069.109999999</v>
      </c>
      <c r="D145" s="86">
        <f>(D115+D128+D144)</f>
        <v>1356206.9900000002</v>
      </c>
      <c r="E145" s="86">
        <f>(E115+E128+E144)</f>
        <v>3603095.8600000003</v>
      </c>
      <c r="F145" s="86">
        <f>(F115+F128+F144)</f>
        <v>0</v>
      </c>
      <c r="G145" s="86">
        <f>(G115+G128+G144)</f>
        <v>200000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23658574.309999999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23658574.309999999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2400690.5099999998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2400690.5099999998</v>
      </c>
    </row>
    <row r="159" spans="1:9" x14ac:dyDescent="0.2">
      <c r="A159" s="22" t="s">
        <v>35</v>
      </c>
      <c r="B159" s="137">
        <f>'DOE25'!F498</f>
        <v>21257883.800000001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21257883.800000001</v>
      </c>
    </row>
    <row r="160" spans="1:9" x14ac:dyDescent="0.2">
      <c r="A160" s="22" t="s">
        <v>36</v>
      </c>
      <c r="B160" s="137">
        <f>'DOE25'!F499</f>
        <v>1513761.75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1513761.75</v>
      </c>
    </row>
    <row r="161" spans="1:7" x14ac:dyDescent="0.2">
      <c r="A161" s="22" t="s">
        <v>37</v>
      </c>
      <c r="B161" s="137">
        <f>'DOE25'!F500</f>
        <v>22771645.550000001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22771645.550000001</v>
      </c>
    </row>
    <row r="162" spans="1:7" x14ac:dyDescent="0.2">
      <c r="A162" s="22" t="s">
        <v>38</v>
      </c>
      <c r="B162" s="137">
        <f>'DOE25'!F501</f>
        <v>2356900.2400000002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2356900.2400000002</v>
      </c>
    </row>
    <row r="163" spans="1:7" x14ac:dyDescent="0.2">
      <c r="A163" s="22" t="s">
        <v>39</v>
      </c>
      <c r="B163" s="137">
        <f>'DOE25'!F502</f>
        <v>1481268.54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1481268.54</v>
      </c>
    </row>
    <row r="164" spans="1:7" x14ac:dyDescent="0.2">
      <c r="A164" s="22" t="s">
        <v>246</v>
      </c>
      <c r="B164" s="137">
        <f>'DOE25'!F503</f>
        <v>3838168.7800000003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3838168.7800000003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Dover School District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9817</v>
      </c>
    </row>
    <row r="5" spans="1:4" x14ac:dyDescent="0.2">
      <c r="B5" t="s">
        <v>704</v>
      </c>
      <c r="C5" s="178">
        <f>IF('DOE25'!G665+'DOE25'!G670=0,0,ROUND('DOE25'!G672,0))</f>
        <v>9241</v>
      </c>
    </row>
    <row r="6" spans="1:4" x14ac:dyDescent="0.2">
      <c r="B6" t="s">
        <v>62</v>
      </c>
      <c r="C6" s="178">
        <f>IF('DOE25'!H665+'DOE25'!H670=0,0,ROUND('DOE25'!H672,0))</f>
        <v>11477</v>
      </c>
    </row>
    <row r="7" spans="1:4" x14ac:dyDescent="0.2">
      <c r="B7" t="s">
        <v>705</v>
      </c>
      <c r="C7" s="178">
        <f>IF('DOE25'!I665+'DOE25'!I670=0,0,ROUND('DOE25'!I672,0))</f>
        <v>10204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18948676</v>
      </c>
      <c r="D10" s="181">
        <f>ROUND((C10/$C$28)*100,1)</f>
        <v>40.4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8174586</v>
      </c>
      <c r="D11" s="181">
        <f>ROUND((C11/$C$28)*100,1)</f>
        <v>17.399999999999999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2317940</v>
      </c>
      <c r="D12" s="181">
        <f>ROUND((C12/$C$28)*100,1)</f>
        <v>4.9000000000000004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576546</v>
      </c>
      <c r="D13" s="181">
        <f>ROUND((C13/$C$28)*100,1)</f>
        <v>1.2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2719614</v>
      </c>
      <c r="D15" s="181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1271201</v>
      </c>
      <c r="D16" s="181">
        <f t="shared" si="0"/>
        <v>2.7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1894987</v>
      </c>
      <c r="D17" s="181">
        <f t="shared" si="0"/>
        <v>4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2181061</v>
      </c>
      <c r="D18" s="181">
        <f t="shared" si="0"/>
        <v>4.7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3995909</v>
      </c>
      <c r="D20" s="181">
        <f t="shared" si="0"/>
        <v>8.5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1797147</v>
      </c>
      <c r="D21" s="181">
        <f t="shared" si="0"/>
        <v>3.8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949346</v>
      </c>
      <c r="D24" s="181">
        <f t="shared" si="0"/>
        <v>2</v>
      </c>
    </row>
    <row r="25" spans="1:4" x14ac:dyDescent="0.2">
      <c r="A25">
        <v>5120</v>
      </c>
      <c r="B25" t="s">
        <v>720</v>
      </c>
      <c r="C25" s="178">
        <f>ROUND('DOE25'!L261+'DOE25'!L342,0)</f>
        <v>1513762</v>
      </c>
      <c r="D25" s="181">
        <f t="shared" si="0"/>
        <v>3.2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557983.07999999996</v>
      </c>
      <c r="D27" s="181">
        <f t="shared" si="0"/>
        <v>1.2</v>
      </c>
    </row>
    <row r="28" spans="1:4" x14ac:dyDescent="0.2">
      <c r="B28" s="186" t="s">
        <v>723</v>
      </c>
      <c r="C28" s="179">
        <f>SUM(C10:C27)</f>
        <v>46898758.079999998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729</v>
      </c>
      <c r="C30" s="179">
        <f>SUM(C28:C29)</f>
        <v>46898758.079999998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2400692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27934161</v>
      </c>
      <c r="D35" s="181">
        <f t="shared" ref="D35:D40" si="1">ROUND((C35/$C$41)*100,1)</f>
        <v>55.7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4074192.9900000021</v>
      </c>
      <c r="D36" s="181">
        <f t="shared" si="1"/>
        <v>8.1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13069515</v>
      </c>
      <c r="D37" s="181">
        <f t="shared" si="1"/>
        <v>26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1169727</v>
      </c>
      <c r="D38" s="181">
        <f t="shared" si="1"/>
        <v>2.2999999999999998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3941540</v>
      </c>
      <c r="D39" s="181">
        <f t="shared" si="1"/>
        <v>7.9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50189135.990000002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2"/>
      <c r="K1" s="212"/>
      <c r="L1" s="212"/>
      <c r="M1" s="213"/>
    </row>
    <row r="2" spans="1:26" ht="12.75" x14ac:dyDescent="0.2">
      <c r="A2" s="290" t="s">
        <v>767</v>
      </c>
      <c r="B2" s="291"/>
      <c r="C2" s="291"/>
      <c r="D2" s="291"/>
      <c r="E2" s="291"/>
      <c r="F2" s="288" t="str">
        <f>'DOE25'!A2</f>
        <v>Dover School District</v>
      </c>
      <c r="G2" s="289"/>
      <c r="H2" s="289"/>
      <c r="I2" s="289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6"/>
      <c r="AB29" s="206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6"/>
      <c r="AO29" s="206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6"/>
      <c r="BB29" s="206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6"/>
      <c r="BO29" s="206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6"/>
      <c r="CB29" s="206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6"/>
      <c r="CO29" s="206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6"/>
      <c r="DB29" s="206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6"/>
      <c r="DO29" s="206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6"/>
      <c r="EB29" s="206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6"/>
      <c r="EO29" s="206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6"/>
      <c r="FB29" s="206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6"/>
      <c r="FO29" s="206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6"/>
      <c r="GB29" s="206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6"/>
      <c r="GO29" s="206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6"/>
      <c r="HB29" s="206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6"/>
      <c r="HO29" s="206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6"/>
      <c r="IB29" s="206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6"/>
      <c r="IO29" s="206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6"/>
      <c r="AB30" s="206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6"/>
      <c r="AO30" s="206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6"/>
      <c r="BB30" s="206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6"/>
      <c r="BO30" s="206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6"/>
      <c r="CB30" s="206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6"/>
      <c r="CO30" s="206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6"/>
      <c r="DB30" s="206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6"/>
      <c r="DO30" s="206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6"/>
      <c r="EB30" s="206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6"/>
      <c r="EO30" s="206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6"/>
      <c r="FB30" s="206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6"/>
      <c r="FO30" s="206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6"/>
      <c r="GB30" s="206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6"/>
      <c r="GO30" s="206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6"/>
      <c r="HB30" s="206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6"/>
      <c r="HO30" s="206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6"/>
      <c r="IB30" s="206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6"/>
      <c r="IO30" s="206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6"/>
      <c r="AB31" s="206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6"/>
      <c r="AO31" s="206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6"/>
      <c r="BB31" s="206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6"/>
      <c r="BO31" s="206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6"/>
      <c r="CB31" s="206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6"/>
      <c r="CO31" s="206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6"/>
      <c r="DB31" s="206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6"/>
      <c r="DO31" s="206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6"/>
      <c r="EB31" s="206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6"/>
      <c r="EO31" s="206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6"/>
      <c r="FB31" s="206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6"/>
      <c r="FO31" s="206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6"/>
      <c r="GB31" s="206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6"/>
      <c r="GO31" s="206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6"/>
      <c r="HB31" s="206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6"/>
      <c r="HO31" s="206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6"/>
      <c r="IB31" s="206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6"/>
      <c r="IO31" s="206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6"/>
      <c r="AB38" s="206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6"/>
      <c r="AO38" s="206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6"/>
      <c r="BB38" s="206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6"/>
      <c r="BO38" s="206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6"/>
      <c r="CB38" s="206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6"/>
      <c r="CO38" s="206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6"/>
      <c r="DB38" s="206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6"/>
      <c r="DO38" s="206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6"/>
      <c r="EB38" s="206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6"/>
      <c r="EO38" s="206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6"/>
      <c r="FB38" s="206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6"/>
      <c r="FO38" s="206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6"/>
      <c r="GB38" s="206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6"/>
      <c r="GO38" s="206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6"/>
      <c r="HB38" s="206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6"/>
      <c r="HO38" s="206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6"/>
      <c r="IB38" s="206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6"/>
      <c r="IO38" s="206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6"/>
      <c r="AB39" s="206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6"/>
      <c r="AO39" s="206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6"/>
      <c r="BB39" s="206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6"/>
      <c r="BO39" s="206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6"/>
      <c r="CB39" s="206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6"/>
      <c r="CO39" s="206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6"/>
      <c r="DB39" s="206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6"/>
      <c r="DO39" s="206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6"/>
      <c r="EB39" s="206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6"/>
      <c r="EO39" s="206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6"/>
      <c r="FB39" s="206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6"/>
      <c r="FO39" s="206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6"/>
      <c r="GB39" s="206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6"/>
      <c r="GO39" s="206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6"/>
      <c r="HB39" s="206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6"/>
      <c r="HO39" s="206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6"/>
      <c r="IB39" s="206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6"/>
      <c r="IO39" s="206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6"/>
      <c r="AB40" s="206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6"/>
      <c r="AO40" s="206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6"/>
      <c r="BB40" s="206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6"/>
      <c r="BO40" s="206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6"/>
      <c r="CB40" s="206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6"/>
      <c r="CO40" s="206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6"/>
      <c r="DB40" s="206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6"/>
      <c r="DO40" s="206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6"/>
      <c r="EB40" s="206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6"/>
      <c r="EO40" s="206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6"/>
      <c r="FB40" s="206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6"/>
      <c r="FO40" s="206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6"/>
      <c r="GB40" s="206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6"/>
      <c r="GO40" s="206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6"/>
      <c r="HB40" s="206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6"/>
      <c r="HO40" s="206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6"/>
      <c r="IB40" s="206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6"/>
      <c r="IO40" s="206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0"/>
      <c r="B74" s="210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0"/>
      <c r="B75" s="210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0"/>
      <c r="B76" s="210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0"/>
      <c r="B77" s="210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0"/>
      <c r="B78" s="210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0"/>
      <c r="B79" s="210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0"/>
      <c r="B80" s="210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0"/>
      <c r="B81" s="210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0"/>
      <c r="B82" s="210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0"/>
      <c r="B83" s="210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0"/>
      <c r="B84" s="210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0"/>
      <c r="B85" s="210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0"/>
      <c r="B86" s="210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0"/>
      <c r="B87" s="210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0"/>
      <c r="B88" s="210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0"/>
      <c r="B89" s="210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0"/>
      <c r="B90" s="210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A70A" sheet="1" objects="1" scenarios="1"/>
  <mergeCells count="223">
    <mergeCell ref="C68:M68"/>
    <mergeCell ref="C69:M69"/>
    <mergeCell ref="C56:M56"/>
    <mergeCell ref="C57:M57"/>
    <mergeCell ref="C59:M59"/>
    <mergeCell ref="C62:M62"/>
    <mergeCell ref="C61:M61"/>
    <mergeCell ref="C87:M87"/>
    <mergeCell ref="C60:M60"/>
    <mergeCell ref="C58:M58"/>
    <mergeCell ref="C88:M88"/>
    <mergeCell ref="C89:M89"/>
    <mergeCell ref="C90:M90"/>
    <mergeCell ref="C63:M63"/>
    <mergeCell ref="C64:M64"/>
    <mergeCell ref="C65:M65"/>
    <mergeCell ref="C79:M79"/>
    <mergeCell ref="C80:M80"/>
    <mergeCell ref="C83:M83"/>
    <mergeCell ref="C84:M84"/>
    <mergeCell ref="C85:M85"/>
    <mergeCell ref="C86:M86"/>
    <mergeCell ref="C81:M81"/>
    <mergeCell ref="C82:M82"/>
    <mergeCell ref="C76:M76"/>
    <mergeCell ref="C66:M66"/>
    <mergeCell ref="C70:M70"/>
    <mergeCell ref="A72:E72"/>
    <mergeCell ref="C73:M73"/>
    <mergeCell ref="C74:M74"/>
    <mergeCell ref="C77:M77"/>
    <mergeCell ref="C78:M78"/>
    <mergeCell ref="C75:M75"/>
    <mergeCell ref="C67:M67"/>
    <mergeCell ref="C52:M52"/>
    <mergeCell ref="C50:M50"/>
    <mergeCell ref="C51:M51"/>
    <mergeCell ref="C53:M53"/>
    <mergeCell ref="C54:M54"/>
    <mergeCell ref="C55:M55"/>
    <mergeCell ref="P31:Z31"/>
    <mergeCell ref="AC31:AM31"/>
    <mergeCell ref="AP31:AZ31"/>
    <mergeCell ref="P39:Z39"/>
    <mergeCell ref="AC39:AM39"/>
    <mergeCell ref="AP39:AZ39"/>
    <mergeCell ref="C46:M46"/>
    <mergeCell ref="C39:M39"/>
    <mergeCell ref="C40:M40"/>
    <mergeCell ref="C34:M34"/>
    <mergeCell ref="C35:M35"/>
    <mergeCell ref="C36:M36"/>
    <mergeCell ref="C38:M38"/>
    <mergeCell ref="C47:M47"/>
    <mergeCell ref="C48:M48"/>
    <mergeCell ref="C49:M49"/>
    <mergeCell ref="CC32:CM32"/>
    <mergeCell ref="C14:M14"/>
    <mergeCell ref="C15:M15"/>
    <mergeCell ref="C16:M16"/>
    <mergeCell ref="C17:M17"/>
    <mergeCell ref="C18:M18"/>
    <mergeCell ref="C27:M27"/>
    <mergeCell ref="C28:M28"/>
    <mergeCell ref="P32:Z32"/>
    <mergeCell ref="C21:M21"/>
    <mergeCell ref="CC29:CM29"/>
    <mergeCell ref="C22:M22"/>
    <mergeCell ref="C23:M23"/>
    <mergeCell ref="C24:M24"/>
    <mergeCell ref="C29:M29"/>
    <mergeCell ref="C25:M25"/>
    <mergeCell ref="C26:M26"/>
    <mergeCell ref="C31:M31"/>
    <mergeCell ref="A2:E2"/>
    <mergeCell ref="C5:M5"/>
    <mergeCell ref="C6:M6"/>
    <mergeCell ref="C7:M7"/>
    <mergeCell ref="C8:M8"/>
    <mergeCell ref="C19:M19"/>
    <mergeCell ref="C20:M20"/>
    <mergeCell ref="AP29:AZ29"/>
    <mergeCell ref="C12:M12"/>
    <mergeCell ref="IP29:IV29"/>
    <mergeCell ref="C42:M42"/>
    <mergeCell ref="P30:Z30"/>
    <mergeCell ref="AC30:AM30"/>
    <mergeCell ref="AP30:AZ30"/>
    <mergeCell ref="C41:M41"/>
    <mergeCell ref="A1:I1"/>
    <mergeCell ref="C3:M3"/>
    <mergeCell ref="C4:M4"/>
    <mergeCell ref="F2:I2"/>
    <mergeCell ref="P29:Z29"/>
    <mergeCell ref="AC29:AM29"/>
    <mergeCell ref="C13:M13"/>
    <mergeCell ref="C9:M9"/>
    <mergeCell ref="C10:M10"/>
    <mergeCell ref="C11:M11"/>
    <mergeCell ref="FC29:FM29"/>
    <mergeCell ref="CP29:CZ29"/>
    <mergeCell ref="BC29:BM29"/>
    <mergeCell ref="BP29:BZ29"/>
    <mergeCell ref="EC29:EM29"/>
    <mergeCell ref="EP29:EZ29"/>
    <mergeCell ref="DP30:DZ30"/>
    <mergeCell ref="DC29:DM29"/>
    <mergeCell ref="HP29:HZ29"/>
    <mergeCell ref="IC29:IM29"/>
    <mergeCell ref="FP29:FZ29"/>
    <mergeCell ref="GC29:GM29"/>
    <mergeCell ref="GP29:GZ29"/>
    <mergeCell ref="HC29:HM29"/>
    <mergeCell ref="C33:M33"/>
    <mergeCell ref="C37:M37"/>
    <mergeCell ref="GC30:GM30"/>
    <mergeCell ref="GP30:GZ30"/>
    <mergeCell ref="EC30:EM30"/>
    <mergeCell ref="EP30:EZ30"/>
    <mergeCell ref="AC32:AM32"/>
    <mergeCell ref="AP32:AZ32"/>
    <mergeCell ref="IC31:IM31"/>
    <mergeCell ref="CP32:CZ32"/>
    <mergeCell ref="CP30:CZ30"/>
    <mergeCell ref="C30:M30"/>
    <mergeCell ref="C32:M32"/>
    <mergeCell ref="DP29:DZ29"/>
    <mergeCell ref="CC30:CM30"/>
    <mergeCell ref="BC30:BM30"/>
    <mergeCell ref="BP30:BZ30"/>
    <mergeCell ref="DC30:D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IP31:IV31"/>
    <mergeCell ref="DC32:DM32"/>
    <mergeCell ref="BP32:BZ32"/>
    <mergeCell ref="HP32:HZ32"/>
    <mergeCell ref="IC30:IM30"/>
    <mergeCell ref="HC30:HM30"/>
    <mergeCell ref="DC31:DM31"/>
    <mergeCell ref="DP31:DZ31"/>
    <mergeCell ref="EC31:EM31"/>
    <mergeCell ref="EP31:EZ31"/>
    <mergeCell ref="GP32:G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DP32:DZ32"/>
    <mergeCell ref="EC32:EM32"/>
    <mergeCell ref="EP32:EZ32"/>
    <mergeCell ref="FC32:FM32"/>
    <mergeCell ref="IP39:IV39"/>
    <mergeCell ref="EP39:EZ39"/>
    <mergeCell ref="FC39:FM39"/>
    <mergeCell ref="IC32:IM32"/>
    <mergeCell ref="IP32:IV32"/>
    <mergeCell ref="FP39:FZ39"/>
    <mergeCell ref="EP38:EZ38"/>
    <mergeCell ref="FC38:FM38"/>
    <mergeCell ref="FP38:FZ38"/>
    <mergeCell ref="GC38:GM38"/>
    <mergeCell ref="GP38:GZ38"/>
    <mergeCell ref="HP39:HZ39"/>
    <mergeCell ref="GP39:GZ39"/>
    <mergeCell ref="HC32:HM32"/>
    <mergeCell ref="IP40:IV40"/>
    <mergeCell ref="C45:M45"/>
    <mergeCell ref="P38:Z38"/>
    <mergeCell ref="AC38:AM38"/>
    <mergeCell ref="AP38:AZ38"/>
    <mergeCell ref="HP38:HZ38"/>
    <mergeCell ref="IC40:IM40"/>
    <mergeCell ref="C43:M43"/>
    <mergeCell ref="BC40:BM40"/>
    <mergeCell ref="BP40:BZ40"/>
    <mergeCell ref="FC40:FM40"/>
    <mergeCell ref="FP40:FZ40"/>
    <mergeCell ref="IC38:IM38"/>
    <mergeCell ref="IP38:IV38"/>
    <mergeCell ref="CP38:CZ38"/>
    <mergeCell ref="BC38:BM38"/>
    <mergeCell ref="HC38:HM38"/>
    <mergeCell ref="DC38:DM38"/>
    <mergeCell ref="DP38:DZ38"/>
    <mergeCell ref="EC38:EM38"/>
    <mergeCell ref="BP38:BZ38"/>
    <mergeCell ref="CC38:CM38"/>
    <mergeCell ref="IC39:IM39"/>
    <mergeCell ref="BP39:BZ39"/>
    <mergeCell ref="HP40:HZ40"/>
    <mergeCell ref="EC40:EM40"/>
    <mergeCell ref="C44:M44"/>
    <mergeCell ref="DP40:DZ40"/>
    <mergeCell ref="P40:Z40"/>
    <mergeCell ref="AC40:AM40"/>
    <mergeCell ref="CC40:CM40"/>
    <mergeCell ref="CP40:CZ40"/>
    <mergeCell ref="DC40:DM40"/>
    <mergeCell ref="EP40:EZ40"/>
    <mergeCell ref="CC39:CM39"/>
    <mergeCell ref="CP39:CZ39"/>
    <mergeCell ref="HC39:HM39"/>
    <mergeCell ref="DC39:DM39"/>
    <mergeCell ref="DP39:DZ39"/>
    <mergeCell ref="EC39:EM39"/>
    <mergeCell ref="GC39:GM39"/>
    <mergeCell ref="GC40:GM40"/>
    <mergeCell ref="GP40:GZ40"/>
    <mergeCell ref="HC40:H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2014-11-19T17:29:28Z</cp:lastPrinted>
  <dcterms:created xsi:type="dcterms:W3CDTF">1997-12-04T19:04:30Z</dcterms:created>
  <dcterms:modified xsi:type="dcterms:W3CDTF">2014-12-05T16:00:27Z</dcterms:modified>
</cp:coreProperties>
</file>