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A70A" lockStructure="1"/>
  <bookViews>
    <workbookView xWindow="180" yWindow="0" windowWidth="2491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1" l="1"/>
  <c r="B31" i="12" l="1"/>
  <c r="C38" i="12"/>
  <c r="B13" i="12"/>
  <c r="B40" i="12"/>
  <c r="C36" i="12"/>
  <c r="C9" i="12"/>
  <c r="C10" i="12"/>
  <c r="G179" i="1"/>
  <c r="G97" i="1"/>
  <c r="J604" i="1"/>
  <c r="H604" i="1"/>
  <c r="K604" i="1" s="1"/>
  <c r="G14" i="1"/>
  <c r="G19" i="1" s="1"/>
  <c r="F128" i="1"/>
  <c r="F98" i="1"/>
  <c r="F72" i="1"/>
  <c r="F79" i="1" s="1"/>
  <c r="F68" i="1"/>
  <c r="F31" i="1"/>
  <c r="F29" i="1"/>
  <c r="C28" i="2" s="1"/>
  <c r="C31" i="2" s="1"/>
  <c r="F24" i="1"/>
  <c r="F14" i="1"/>
  <c r="F9" i="1"/>
  <c r="I498" i="1"/>
  <c r="I500" i="1" s="1"/>
  <c r="E161" i="2" s="1"/>
  <c r="H498" i="1"/>
  <c r="G498" i="1"/>
  <c r="F498" i="1"/>
  <c r="L543" i="1"/>
  <c r="J551" i="1" s="1"/>
  <c r="K544" i="1"/>
  <c r="G539" i="1"/>
  <c r="I539" i="1"/>
  <c r="L533" i="1"/>
  <c r="H551" i="1" s="1"/>
  <c r="I534" i="1"/>
  <c r="K534" i="1"/>
  <c r="G534" i="1"/>
  <c r="K529" i="1"/>
  <c r="J529" i="1"/>
  <c r="F529" i="1"/>
  <c r="I529" i="1"/>
  <c r="I524" i="1"/>
  <c r="I545" i="1" s="1"/>
  <c r="K524" i="1"/>
  <c r="K545" i="1" s="1"/>
  <c r="J524" i="1"/>
  <c r="L521" i="1"/>
  <c r="F549" i="1" s="1"/>
  <c r="F524" i="1"/>
  <c r="L612" i="1"/>
  <c r="G663" i="1" s="1"/>
  <c r="I614" i="1"/>
  <c r="J605" i="1"/>
  <c r="I598" i="1"/>
  <c r="H650" i="1" s="1"/>
  <c r="J650" i="1" s="1"/>
  <c r="K593" i="1"/>
  <c r="K595" i="1"/>
  <c r="K598" i="1" s="1"/>
  <c r="G647" i="1" s="1"/>
  <c r="K597" i="1"/>
  <c r="I367" i="1"/>
  <c r="I362" i="1"/>
  <c r="G634" i="1" s="1"/>
  <c r="F29" i="13"/>
  <c r="G362" i="1"/>
  <c r="L358" i="1"/>
  <c r="L325" i="1"/>
  <c r="K328" i="1"/>
  <c r="B36" i="12"/>
  <c r="J328" i="1"/>
  <c r="I328" i="1"/>
  <c r="H290" i="1"/>
  <c r="H338" i="1" s="1"/>
  <c r="H352" i="1" s="1"/>
  <c r="I290" i="1"/>
  <c r="K290" i="1"/>
  <c r="L263" i="1"/>
  <c r="C135" i="2" s="1"/>
  <c r="L255" i="1"/>
  <c r="F14" i="13"/>
  <c r="L243" i="1"/>
  <c r="L242" i="1"/>
  <c r="F12" i="13"/>
  <c r="L241" i="1"/>
  <c r="F7" i="13"/>
  <c r="L238" i="1"/>
  <c r="G247" i="1"/>
  <c r="L234" i="1"/>
  <c r="G15" i="13"/>
  <c r="G13" i="13"/>
  <c r="F13" i="13"/>
  <c r="L205" i="1"/>
  <c r="G8" i="13"/>
  <c r="F8" i="13"/>
  <c r="L204" i="1"/>
  <c r="G211" i="1"/>
  <c r="G257" i="1" s="1"/>
  <c r="G271" i="1" s="1"/>
  <c r="L198" i="1"/>
  <c r="I211" i="1"/>
  <c r="C45" i="2"/>
  <c r="G51" i="1"/>
  <c r="G52" i="1" s="1"/>
  <c r="H618" i="1" s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/>
  <c r="I458" i="1"/>
  <c r="J39" i="1" s="1"/>
  <c r="G38" i="2" s="1"/>
  <c r="C68" i="2"/>
  <c r="B2" i="13"/>
  <c r="L222" i="1"/>
  <c r="D39" i="13"/>
  <c r="L224" i="1"/>
  <c r="F16" i="13"/>
  <c r="G16" i="13"/>
  <c r="L209" i="1"/>
  <c r="L227" i="1"/>
  <c r="L245" i="1"/>
  <c r="L197" i="1"/>
  <c r="L215" i="1"/>
  <c r="L216" i="1"/>
  <c r="L217" i="1"/>
  <c r="L218" i="1"/>
  <c r="F6" i="13"/>
  <c r="G6" i="13"/>
  <c r="L220" i="1"/>
  <c r="G7" i="13"/>
  <c r="L221" i="1"/>
  <c r="G12" i="13"/>
  <c r="L223" i="1"/>
  <c r="G14" i="13"/>
  <c r="L207" i="1"/>
  <c r="C20" i="10" s="1"/>
  <c r="L225" i="1"/>
  <c r="F15" i="13"/>
  <c r="L226" i="1"/>
  <c r="L244" i="1"/>
  <c r="H662" i="1" s="1"/>
  <c r="F17" i="13"/>
  <c r="G17" i="13"/>
  <c r="L251" i="1"/>
  <c r="F18" i="13"/>
  <c r="G18" i="13"/>
  <c r="L252" i="1"/>
  <c r="F19" i="13"/>
  <c r="G19" i="13"/>
  <c r="D19" i="13" s="1"/>
  <c r="C19" i="13" s="1"/>
  <c r="L253" i="1"/>
  <c r="C114" i="2" s="1"/>
  <c r="L359" i="1"/>
  <c r="J290" i="1"/>
  <c r="J338" i="1" s="1"/>
  <c r="J352" i="1" s="1"/>
  <c r="J309" i="1"/>
  <c r="K309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6" i="1"/>
  <c r="L319" i="1"/>
  <c r="L320" i="1"/>
  <c r="L321" i="1"/>
  <c r="L322" i="1"/>
  <c r="L323" i="1"/>
  <c r="L324" i="1"/>
  <c r="L326" i="1"/>
  <c r="L333" i="1"/>
  <c r="L334" i="1"/>
  <c r="L335" i="1"/>
  <c r="E114" i="2" s="1"/>
  <c r="L260" i="1"/>
  <c r="C32" i="10" s="1"/>
  <c r="L261" i="1"/>
  <c r="L341" i="1"/>
  <c r="L342" i="1"/>
  <c r="E132" i="2" s="1"/>
  <c r="L336" i="1"/>
  <c r="C11" i="13"/>
  <c r="C10" i="13"/>
  <c r="C9" i="13"/>
  <c r="L361" i="1"/>
  <c r="B4" i="12"/>
  <c r="C27" i="12"/>
  <c r="C31" i="12"/>
  <c r="B18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7" i="1" s="1"/>
  <c r="C140" i="2" s="1"/>
  <c r="L404" i="1"/>
  <c r="L405" i="1"/>
  <c r="L406" i="1"/>
  <c r="L266" i="1"/>
  <c r="J60" i="1"/>
  <c r="G56" i="2" s="1"/>
  <c r="G59" i="2"/>
  <c r="G61" i="2"/>
  <c r="F2" i="11"/>
  <c r="C40" i="10"/>
  <c r="F60" i="1"/>
  <c r="C56" i="2" s="1"/>
  <c r="G60" i="1"/>
  <c r="H60" i="1"/>
  <c r="I60" i="1"/>
  <c r="F94" i="1"/>
  <c r="F111" i="1"/>
  <c r="G111" i="1"/>
  <c r="G112" i="1" s="1"/>
  <c r="H79" i="1"/>
  <c r="H94" i="1"/>
  <c r="H111" i="1"/>
  <c r="I111" i="1"/>
  <c r="J111" i="1"/>
  <c r="F121" i="1"/>
  <c r="F140" i="1" s="1"/>
  <c r="F136" i="1"/>
  <c r="G121" i="1"/>
  <c r="G136" i="1"/>
  <c r="H121" i="1"/>
  <c r="H140" i="1" s="1"/>
  <c r="H193" i="1" s="1"/>
  <c r="G629" i="1" s="1"/>
  <c r="J629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L250" i="1"/>
  <c r="L332" i="1"/>
  <c r="L254" i="1"/>
  <c r="C25" i="10"/>
  <c r="L268" i="1"/>
  <c r="L269" i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3" i="1"/>
  <c r="F551" i="1" s="1"/>
  <c r="L537" i="1"/>
  <c r="I550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 s="1"/>
  <c r="C9" i="2"/>
  <c r="D9" i="2"/>
  <c r="E9" i="2"/>
  <c r="F9" i="2"/>
  <c r="I440" i="1"/>
  <c r="J10" i="1" s="1"/>
  <c r="G9" i="2"/>
  <c r="C10" i="2"/>
  <c r="C11" i="2"/>
  <c r="D11" i="2"/>
  <c r="E11" i="2"/>
  <c r="E18" i="2" s="1"/>
  <c r="F11" i="2"/>
  <c r="I441" i="1"/>
  <c r="J12" i="1" s="1"/>
  <c r="G11" i="2" s="1"/>
  <c r="C12" i="2"/>
  <c r="D12" i="2"/>
  <c r="E12" i="2"/>
  <c r="F12" i="2"/>
  <c r="I442" i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 s="1"/>
  <c r="G47" i="2" s="1"/>
  <c r="C49" i="2"/>
  <c r="D56" i="2"/>
  <c r="E56" i="2"/>
  <c r="E57" i="2"/>
  <c r="C58" i="2"/>
  <c r="E58" i="2"/>
  <c r="E62" i="2" s="1"/>
  <c r="C59" i="2"/>
  <c r="D59" i="2"/>
  <c r="E59" i="2"/>
  <c r="F59" i="2"/>
  <c r="F62" i="2" s="1"/>
  <c r="D60" i="2"/>
  <c r="C61" i="2"/>
  <c r="D61" i="2"/>
  <c r="E61" i="2"/>
  <c r="F61" i="2"/>
  <c r="C66" i="2"/>
  <c r="C70" i="2" s="1"/>
  <c r="C67" i="2"/>
  <c r="C69" i="2"/>
  <c r="D69" i="2"/>
  <c r="D70" i="2"/>
  <c r="D81" i="2" s="1"/>
  <c r="E69" i="2"/>
  <c r="E70" i="2"/>
  <c r="F69" i="2"/>
  <c r="F70" i="2"/>
  <c r="G69" i="2"/>
  <c r="G70" i="2"/>
  <c r="C72" i="2"/>
  <c r="C78" i="2" s="1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/>
  <c r="E77" i="2"/>
  <c r="E78" i="2" s="1"/>
  <c r="F77" i="2"/>
  <c r="G77" i="2"/>
  <c r="G78" i="2"/>
  <c r="G81" i="2"/>
  <c r="C79" i="2"/>
  <c r="D79" i="2"/>
  <c r="E79" i="2"/>
  <c r="C80" i="2"/>
  <c r="E80" i="2"/>
  <c r="E81" i="2" s="1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F103" i="2" s="1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E118" i="2"/>
  <c r="E119" i="2"/>
  <c r="E122" i="2"/>
  <c r="E123" i="2"/>
  <c r="C125" i="2"/>
  <c r="F128" i="2"/>
  <c r="G128" i="2"/>
  <c r="E130" i="2"/>
  <c r="F130" i="2"/>
  <c r="F144" i="2" s="1"/>
  <c r="F145" i="2" s="1"/>
  <c r="D134" i="2"/>
  <c r="D144" i="2" s="1"/>
  <c r="E134" i="2"/>
  <c r="E144" i="2" s="1"/>
  <c r="F134" i="2"/>
  <c r="K419" i="1"/>
  <c r="K427" i="1"/>
  <c r="K433" i="1"/>
  <c r="E135" i="2"/>
  <c r="L264" i="1"/>
  <c r="C136" i="2" s="1"/>
  <c r="L265" i="1"/>
  <c r="C137" i="2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G159" i="2" s="1"/>
  <c r="F159" i="2"/>
  <c r="B160" i="2"/>
  <c r="C160" i="2"/>
  <c r="D160" i="2"/>
  <c r="G160" i="2" s="1"/>
  <c r="E160" i="2"/>
  <c r="F160" i="2"/>
  <c r="F500" i="1"/>
  <c r="B161" i="2"/>
  <c r="G161" i="2" s="1"/>
  <c r="G500" i="1"/>
  <c r="C161" i="2" s="1"/>
  <c r="H500" i="1"/>
  <c r="D161" i="2" s="1"/>
  <c r="J500" i="1"/>
  <c r="F161" i="2"/>
  <c r="B162" i="2"/>
  <c r="C162" i="2"/>
  <c r="D162" i="2"/>
  <c r="G162" i="2" s="1"/>
  <c r="E162" i="2"/>
  <c r="F162" i="2"/>
  <c r="B163" i="2"/>
  <c r="C163" i="2"/>
  <c r="D163" i="2"/>
  <c r="E163" i="2"/>
  <c r="F163" i="2"/>
  <c r="F503" i="1"/>
  <c r="K503" i="1" s="1"/>
  <c r="B164" i="2"/>
  <c r="G164" i="2" s="1"/>
  <c r="G503" i="1"/>
  <c r="C164" i="2" s="1"/>
  <c r="H503" i="1"/>
  <c r="D164" i="2"/>
  <c r="I503" i="1"/>
  <c r="E164" i="2" s="1"/>
  <c r="J503" i="1"/>
  <c r="F164" i="2" s="1"/>
  <c r="F19" i="1"/>
  <c r="H19" i="1"/>
  <c r="G619" i="1" s="1"/>
  <c r="J619" i="1" s="1"/>
  <c r="I19" i="1"/>
  <c r="G32" i="1"/>
  <c r="H32" i="1"/>
  <c r="I32" i="1"/>
  <c r="H51" i="1"/>
  <c r="H52" i="1" s="1"/>
  <c r="H619" i="1" s="1"/>
  <c r="I51" i="1"/>
  <c r="I52" i="1" s="1"/>
  <c r="H620" i="1" s="1"/>
  <c r="F177" i="1"/>
  <c r="I177" i="1"/>
  <c r="I192" i="1" s="1"/>
  <c r="F183" i="1"/>
  <c r="H183" i="1"/>
  <c r="I183" i="1"/>
  <c r="J183" i="1"/>
  <c r="J192" i="1" s="1"/>
  <c r="F188" i="1"/>
  <c r="G188" i="1"/>
  <c r="H188" i="1"/>
  <c r="I188" i="1"/>
  <c r="K211" i="1"/>
  <c r="F229" i="1"/>
  <c r="G229" i="1"/>
  <c r="H229" i="1"/>
  <c r="I229" i="1"/>
  <c r="J229" i="1"/>
  <c r="K229" i="1"/>
  <c r="J247" i="1"/>
  <c r="K247" i="1"/>
  <c r="F256" i="1"/>
  <c r="G256" i="1"/>
  <c r="H256" i="1"/>
  <c r="I256" i="1"/>
  <c r="J256" i="1"/>
  <c r="K256" i="1"/>
  <c r="F309" i="1"/>
  <c r="G309" i="1"/>
  <c r="H309" i="1"/>
  <c r="I309" i="1"/>
  <c r="G328" i="1"/>
  <c r="H328" i="1"/>
  <c r="F337" i="1"/>
  <c r="G337" i="1"/>
  <c r="H337" i="1"/>
  <c r="I337" i="1"/>
  <c r="J337" i="1"/>
  <c r="K337" i="1"/>
  <c r="F362" i="1"/>
  <c r="J362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F408" i="1" s="1"/>
  <c r="H643" i="1" s="1"/>
  <c r="G407" i="1"/>
  <c r="H407" i="1"/>
  <c r="I407" i="1"/>
  <c r="G408" i="1"/>
  <c r="H408" i="1"/>
  <c r="I408" i="1"/>
  <c r="L413" i="1"/>
  <c r="L419" i="1" s="1"/>
  <c r="L434" i="1" s="1"/>
  <c r="G638" i="1" s="1"/>
  <c r="J638" i="1" s="1"/>
  <c r="L414" i="1"/>
  <c r="L415" i="1"/>
  <c r="L416" i="1"/>
  <c r="L417" i="1"/>
  <c r="L418" i="1"/>
  <c r="F419" i="1"/>
  <c r="G419" i="1"/>
  <c r="H419" i="1"/>
  <c r="H434" i="1" s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G461" i="1" s="1"/>
  <c r="H640" i="1" s="1"/>
  <c r="H452" i="1"/>
  <c r="F460" i="1"/>
  <c r="G460" i="1"/>
  <c r="H460" i="1"/>
  <c r="F461" i="1"/>
  <c r="H461" i="1"/>
  <c r="F470" i="1"/>
  <c r="G470" i="1"/>
  <c r="G476" i="1" s="1"/>
  <c r="H470" i="1"/>
  <c r="I470" i="1"/>
  <c r="J470" i="1"/>
  <c r="F474" i="1"/>
  <c r="F476" i="1" s="1"/>
  <c r="H622" i="1" s="1"/>
  <c r="J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G524" i="1"/>
  <c r="H524" i="1"/>
  <c r="H529" i="1"/>
  <c r="F534" i="1"/>
  <c r="J534" i="1"/>
  <c r="F539" i="1"/>
  <c r="F545" i="1" s="1"/>
  <c r="J539" i="1"/>
  <c r="K539" i="1"/>
  <c r="F544" i="1"/>
  <c r="H544" i="1"/>
  <c r="I544" i="1"/>
  <c r="J544" i="1"/>
  <c r="L557" i="1"/>
  <c r="L560" i="1" s="1"/>
  <c r="L558" i="1"/>
  <c r="L559" i="1"/>
  <c r="F560" i="1"/>
  <c r="G560" i="1"/>
  <c r="G571" i="1" s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4" i="1"/>
  <c r="K596" i="1"/>
  <c r="H598" i="1"/>
  <c r="H649" i="1" s="1"/>
  <c r="J598" i="1"/>
  <c r="H651" i="1"/>
  <c r="H605" i="1"/>
  <c r="I605" i="1"/>
  <c r="G614" i="1"/>
  <c r="H614" i="1"/>
  <c r="J614" i="1"/>
  <c r="K614" i="1"/>
  <c r="G617" i="1"/>
  <c r="G618" i="1"/>
  <c r="J618" i="1" s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G644" i="1"/>
  <c r="J644" i="1" s="1"/>
  <c r="H644" i="1"/>
  <c r="G645" i="1"/>
  <c r="H645" i="1"/>
  <c r="G650" i="1"/>
  <c r="G652" i="1"/>
  <c r="H652" i="1"/>
  <c r="J652" i="1" s="1"/>
  <c r="G653" i="1"/>
  <c r="H653" i="1"/>
  <c r="G654" i="1"/>
  <c r="H654" i="1"/>
  <c r="H655" i="1"/>
  <c r="F192" i="1"/>
  <c r="C26" i="10"/>
  <c r="D62" i="2"/>
  <c r="D63" i="2"/>
  <c r="D18" i="13"/>
  <c r="C18" i="13" s="1"/>
  <c r="D18" i="2"/>
  <c r="D17" i="13"/>
  <c r="C17" i="13"/>
  <c r="D31" i="2"/>
  <c r="D51" i="2" s="1"/>
  <c r="D50" i="2"/>
  <c r="F18" i="2"/>
  <c r="E103" i="2"/>
  <c r="D91" i="2"/>
  <c r="E31" i="2"/>
  <c r="G62" i="2"/>
  <c r="L427" i="1"/>
  <c r="H112" i="1"/>
  <c r="J641" i="1"/>
  <c r="L433" i="1"/>
  <c r="H169" i="1"/>
  <c r="H476" i="1"/>
  <c r="H624" i="1" s="1"/>
  <c r="J624" i="1" s="1"/>
  <c r="I476" i="1"/>
  <c r="H625" i="1" s="1"/>
  <c r="J625" i="1" s="1"/>
  <c r="H623" i="1"/>
  <c r="J623" i="1"/>
  <c r="F169" i="1"/>
  <c r="F571" i="1"/>
  <c r="G22" i="2"/>
  <c r="H25" i="13"/>
  <c r="H33" i="13" s="1"/>
  <c r="C25" i="13"/>
  <c r="H571" i="1"/>
  <c r="J545" i="1"/>
  <c r="H192" i="1"/>
  <c r="C35" i="10"/>
  <c r="L309" i="1"/>
  <c r="E16" i="13"/>
  <c r="C16" i="13" s="1"/>
  <c r="J655" i="1"/>
  <c r="J645" i="1"/>
  <c r="L570" i="1"/>
  <c r="G36" i="2"/>
  <c r="G50" i="2" s="1"/>
  <c r="L337" i="1"/>
  <c r="C23" i="10"/>
  <c r="G163" i="2"/>
  <c r="G158" i="2"/>
  <c r="G103" i="2"/>
  <c r="C103" i="2"/>
  <c r="E50" i="2"/>
  <c r="E51" i="2"/>
  <c r="C50" i="2"/>
  <c r="C51" i="2" s="1"/>
  <c r="F31" i="2"/>
  <c r="F50" i="2"/>
  <c r="F51" i="2" s="1"/>
  <c r="C24" i="10"/>
  <c r="I338" i="1"/>
  <c r="I352" i="1" s="1"/>
  <c r="E91" i="2"/>
  <c r="J654" i="1"/>
  <c r="J653" i="1"/>
  <c r="J434" i="1"/>
  <c r="F434" i="1"/>
  <c r="K434" i="1"/>
  <c r="G134" i="2" s="1"/>
  <c r="G144" i="2" s="1"/>
  <c r="G145" i="2" s="1"/>
  <c r="F31" i="13"/>
  <c r="G140" i="1"/>
  <c r="G63" i="2"/>
  <c r="G104" i="2"/>
  <c r="C5" i="10"/>
  <c r="G42" i="2"/>
  <c r="G16" i="2"/>
  <c r="J620" i="1"/>
  <c r="I140" i="1"/>
  <c r="G434" i="1"/>
  <c r="C130" i="2" l="1"/>
  <c r="C29" i="10"/>
  <c r="F22" i="13"/>
  <c r="C22" i="13" s="1"/>
  <c r="C38" i="10"/>
  <c r="L571" i="1"/>
  <c r="G193" i="1"/>
  <c r="G628" i="1" s="1"/>
  <c r="J628" i="1" s="1"/>
  <c r="C110" i="2"/>
  <c r="C18" i="10"/>
  <c r="C121" i="2"/>
  <c r="D12" i="13"/>
  <c r="C12" i="13" s="1"/>
  <c r="C57" i="2"/>
  <c r="C62" i="2" s="1"/>
  <c r="C63" i="2" s="1"/>
  <c r="F112" i="1"/>
  <c r="F193" i="1" s="1"/>
  <c r="G627" i="1" s="1"/>
  <c r="J627" i="1" s="1"/>
  <c r="C81" i="2"/>
  <c r="C109" i="2"/>
  <c r="G169" i="1"/>
  <c r="C39" i="10" s="1"/>
  <c r="D14" i="13"/>
  <c r="C14" i="13" s="1"/>
  <c r="J639" i="1"/>
  <c r="F85" i="2"/>
  <c r="F91" i="2" s="1"/>
  <c r="I446" i="1"/>
  <c r="G642" i="1" s="1"/>
  <c r="J13" i="1"/>
  <c r="E124" i="2"/>
  <c r="E111" i="2"/>
  <c r="F5" i="13"/>
  <c r="J211" i="1"/>
  <c r="J257" i="1" s="1"/>
  <c r="I247" i="1"/>
  <c r="I257" i="1" s="1"/>
  <c r="I271" i="1" s="1"/>
  <c r="L233" i="1"/>
  <c r="L239" i="1"/>
  <c r="F247" i="1"/>
  <c r="K338" i="1"/>
  <c r="K352" i="1" s="1"/>
  <c r="L613" i="1"/>
  <c r="H663" i="1" s="1"/>
  <c r="L277" i="1"/>
  <c r="G290" i="1"/>
  <c r="G338" i="1" s="1"/>
  <c r="G352" i="1" s="1"/>
  <c r="J51" i="1"/>
  <c r="G31" i="13"/>
  <c r="G651" i="1"/>
  <c r="J651" i="1" s="1"/>
  <c r="L382" i="1"/>
  <c r="G636" i="1" s="1"/>
  <c r="J636" i="1" s="1"/>
  <c r="L317" i="1"/>
  <c r="E112" i="2" s="1"/>
  <c r="L229" i="1"/>
  <c r="G660" i="1" s="1"/>
  <c r="C11" i="12"/>
  <c r="B22" i="12"/>
  <c r="C20" i="12" s="1"/>
  <c r="L393" i="1"/>
  <c r="K571" i="1"/>
  <c r="L256" i="1"/>
  <c r="K257" i="1"/>
  <c r="K271" i="1" s="1"/>
  <c r="C123" i="2"/>
  <c r="C91" i="2"/>
  <c r="E120" i="2"/>
  <c r="B27" i="12"/>
  <c r="A31" i="12" s="1"/>
  <c r="L199" i="1"/>
  <c r="F290" i="1"/>
  <c r="L276" i="1"/>
  <c r="B9" i="12"/>
  <c r="G29" i="13"/>
  <c r="K362" i="1"/>
  <c r="I368" i="1"/>
  <c r="I369" i="1" s="1"/>
  <c r="H634" i="1" s="1"/>
  <c r="J634" i="1" s="1"/>
  <c r="F369" i="1"/>
  <c r="K603" i="1"/>
  <c r="G529" i="1"/>
  <c r="G545" i="1" s="1"/>
  <c r="L527" i="1"/>
  <c r="G550" i="1" s="1"/>
  <c r="L541" i="1"/>
  <c r="G544" i="1"/>
  <c r="J643" i="1"/>
  <c r="F614" i="1"/>
  <c r="K602" i="1"/>
  <c r="K605" i="1" s="1"/>
  <c r="G648" i="1" s="1"/>
  <c r="F211" i="1"/>
  <c r="F257" i="1" s="1"/>
  <c r="F271" i="1" s="1"/>
  <c r="E63" i="2"/>
  <c r="E104" i="2" s="1"/>
  <c r="I452" i="1"/>
  <c r="J22" i="1"/>
  <c r="L531" i="1"/>
  <c r="I112" i="1"/>
  <c r="I193" i="1" s="1"/>
  <c r="G630" i="1" s="1"/>
  <c r="J630" i="1" s="1"/>
  <c r="F56" i="2"/>
  <c r="F63" i="2" s="1"/>
  <c r="F104" i="2" s="1"/>
  <c r="C39" i="12"/>
  <c r="C37" i="12"/>
  <c r="C40" i="12" s="1"/>
  <c r="A40" i="12" s="1"/>
  <c r="K500" i="1"/>
  <c r="I460" i="1"/>
  <c r="J112" i="1"/>
  <c r="J193" i="1" s="1"/>
  <c r="L314" i="1"/>
  <c r="L328" i="1" s="1"/>
  <c r="C18" i="12"/>
  <c r="L270" i="1"/>
  <c r="E125" i="2"/>
  <c r="E121" i="2"/>
  <c r="H211" i="1"/>
  <c r="H257" i="1" s="1"/>
  <c r="H271" i="1" s="1"/>
  <c r="G5" i="13"/>
  <c r="G33" i="13" s="1"/>
  <c r="L202" i="1"/>
  <c r="L203" i="1"/>
  <c r="L206" i="1"/>
  <c r="L208" i="1"/>
  <c r="H247" i="1"/>
  <c r="L235" i="1"/>
  <c r="L236" i="1"/>
  <c r="L240" i="1"/>
  <c r="C17" i="10" s="1"/>
  <c r="L315" i="1"/>
  <c r="F328" i="1"/>
  <c r="H362" i="1"/>
  <c r="L360" i="1"/>
  <c r="L362" i="1" s="1"/>
  <c r="L611" i="1"/>
  <c r="L614" i="1" s="1"/>
  <c r="L522" i="1"/>
  <c r="F550" i="1" s="1"/>
  <c r="F552" i="1" s="1"/>
  <c r="L526" i="1"/>
  <c r="L528" i="1"/>
  <c r="G551" i="1" s="1"/>
  <c r="K551" i="1" s="1"/>
  <c r="L532" i="1"/>
  <c r="H550" i="1" s="1"/>
  <c r="H534" i="1"/>
  <c r="H545" i="1" s="1"/>
  <c r="L536" i="1"/>
  <c r="H539" i="1"/>
  <c r="L538" i="1"/>
  <c r="I551" i="1" s="1"/>
  <c r="L542" i="1"/>
  <c r="J550" i="1" s="1"/>
  <c r="F32" i="1"/>
  <c r="F52" i="1" s="1"/>
  <c r="H617" i="1" s="1"/>
  <c r="J617" i="1" s="1"/>
  <c r="G183" i="1"/>
  <c r="G192" i="1" s="1"/>
  <c r="D96" i="2"/>
  <c r="D103" i="2" s="1"/>
  <c r="D104" i="2" s="1"/>
  <c r="L200" i="1"/>
  <c r="C12" i="12"/>
  <c r="C13" i="12" s="1"/>
  <c r="C104" i="2" l="1"/>
  <c r="G635" i="1"/>
  <c r="J635" i="1" s="1"/>
  <c r="C27" i="10"/>
  <c r="A13" i="12"/>
  <c r="D127" i="2"/>
  <c r="D128" i="2" s="1"/>
  <c r="D145" i="2" s="1"/>
  <c r="C120" i="2"/>
  <c r="G646" i="1"/>
  <c r="G631" i="1"/>
  <c r="J631" i="1" s="1"/>
  <c r="J32" i="1"/>
  <c r="G21" i="2"/>
  <c r="G31" i="2" s="1"/>
  <c r="G51" i="2" s="1"/>
  <c r="L290" i="1"/>
  <c r="E109" i="2"/>
  <c r="E115" i="2" s="1"/>
  <c r="E145" i="2" s="1"/>
  <c r="G661" i="1"/>
  <c r="J271" i="1"/>
  <c r="H648" i="1"/>
  <c r="J648" i="1" s="1"/>
  <c r="G12" i="2"/>
  <c r="G18" i="2" s="1"/>
  <c r="J19" i="1"/>
  <c r="G621" i="1" s="1"/>
  <c r="F661" i="1"/>
  <c r="D7" i="13"/>
  <c r="C7" i="13" s="1"/>
  <c r="C119" i="2"/>
  <c r="C16" i="10"/>
  <c r="I461" i="1"/>
  <c r="H642" i="1" s="1"/>
  <c r="F338" i="1"/>
  <c r="F352" i="1" s="1"/>
  <c r="E110" i="2"/>
  <c r="D5" i="13"/>
  <c r="F33" i="13"/>
  <c r="J642" i="1"/>
  <c r="E8" i="13"/>
  <c r="C11" i="10"/>
  <c r="I549" i="1"/>
  <c r="I552" i="1" s="1"/>
  <c r="L539" i="1"/>
  <c r="G549" i="1"/>
  <c r="L529" i="1"/>
  <c r="H661" i="1"/>
  <c r="D29" i="13"/>
  <c r="C29" i="13" s="1"/>
  <c r="C124" i="2"/>
  <c r="F662" i="1"/>
  <c r="I662" i="1" s="1"/>
  <c r="C21" i="10"/>
  <c r="G649" i="1"/>
  <c r="J649" i="1" s="1"/>
  <c r="D15" i="13"/>
  <c r="C15" i="13" s="1"/>
  <c r="H647" i="1"/>
  <c r="J647" i="1" s="1"/>
  <c r="L534" i="1"/>
  <c r="H549" i="1"/>
  <c r="H552" i="1" s="1"/>
  <c r="C21" i="12"/>
  <c r="J52" i="1"/>
  <c r="H621" i="1" s="1"/>
  <c r="G626" i="1"/>
  <c r="J626" i="1" s="1"/>
  <c r="C13" i="10"/>
  <c r="C112" i="2"/>
  <c r="K550" i="1"/>
  <c r="C19" i="10"/>
  <c r="C122" i="2"/>
  <c r="E13" i="13"/>
  <c r="C13" i="13" s="1"/>
  <c r="E128" i="2"/>
  <c r="C10" i="10"/>
  <c r="C19" i="12"/>
  <c r="C15" i="10"/>
  <c r="C118" i="2"/>
  <c r="C128" i="2" s="1"/>
  <c r="D6" i="13"/>
  <c r="C6" i="13" s="1"/>
  <c r="J549" i="1"/>
  <c r="J552" i="1" s="1"/>
  <c r="L544" i="1"/>
  <c r="F663" i="1"/>
  <c r="I663" i="1" s="1"/>
  <c r="C111" i="2"/>
  <c r="C115" i="2" s="1"/>
  <c r="C12" i="10"/>
  <c r="C138" i="2"/>
  <c r="C141" i="2" s="1"/>
  <c r="L408" i="1"/>
  <c r="G664" i="1"/>
  <c r="L524" i="1"/>
  <c r="C36" i="10"/>
  <c r="L247" i="1"/>
  <c r="H660" i="1" s="1"/>
  <c r="L211" i="1"/>
  <c r="G672" i="1" l="1"/>
  <c r="G667" i="1"/>
  <c r="H664" i="1"/>
  <c r="G637" i="1"/>
  <c r="J637" i="1" s="1"/>
  <c r="H646" i="1"/>
  <c r="D13" i="10"/>
  <c r="D27" i="10"/>
  <c r="G552" i="1"/>
  <c r="K549" i="1"/>
  <c r="K552" i="1" s="1"/>
  <c r="C8" i="13"/>
  <c r="E33" i="13"/>
  <c r="D35" i="13" s="1"/>
  <c r="C5" i="13"/>
  <c r="D16" i="10"/>
  <c r="I661" i="1"/>
  <c r="L257" i="1"/>
  <c r="L271" i="1" s="1"/>
  <c r="G632" i="1" s="1"/>
  <c r="J632" i="1" s="1"/>
  <c r="F660" i="1"/>
  <c r="D21" i="10"/>
  <c r="C28" i="10"/>
  <c r="D10" i="10"/>
  <c r="D11" i="10"/>
  <c r="D31" i="13"/>
  <c r="C31" i="13" s="1"/>
  <c r="L338" i="1"/>
  <c r="L352" i="1" s="1"/>
  <c r="G633" i="1" s="1"/>
  <c r="J633" i="1" s="1"/>
  <c r="J646" i="1"/>
  <c r="C41" i="10"/>
  <c r="D15" i="10"/>
  <c r="C144" i="2"/>
  <c r="C145" i="2" s="1"/>
  <c r="L545" i="1"/>
  <c r="D12" i="10"/>
  <c r="C22" i="12"/>
  <c r="A22" i="12" s="1"/>
  <c r="J621" i="1"/>
  <c r="H656" i="1"/>
  <c r="D37" i="10" l="1"/>
  <c r="D40" i="10"/>
  <c r="D35" i="10"/>
  <c r="D39" i="10"/>
  <c r="D38" i="10"/>
  <c r="H672" i="1"/>
  <c r="C6" i="10" s="1"/>
  <c r="H667" i="1"/>
  <c r="D33" i="13"/>
  <c r="D36" i="13" s="1"/>
  <c r="D36" i="10"/>
  <c r="I660" i="1"/>
  <c r="I664" i="1" s="1"/>
  <c r="F664" i="1"/>
  <c r="D25" i="10"/>
  <c r="D22" i="10"/>
  <c r="D23" i="10"/>
  <c r="D26" i="10"/>
  <c r="C30" i="10"/>
  <c r="D20" i="10"/>
  <c r="D24" i="10"/>
  <c r="D17" i="10"/>
  <c r="D28" i="10" s="1"/>
  <c r="D18" i="10"/>
  <c r="D19" i="10"/>
  <c r="I672" i="1" l="1"/>
  <c r="C7" i="10" s="1"/>
  <c r="I667" i="1"/>
  <c r="D41" i="10"/>
  <c r="F667" i="1"/>
  <c r="F672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<sst xmlns="http://schemas.openxmlformats.org/spreadsheetml/2006/main" count="3962" uniqueCount="917">
  <si>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</si>
  <si>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</si>
  <si>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</si>
  <si>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</si>
  <si>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</si>
  <si>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</si>
  <si>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</si>
  <si>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</si>
  <si>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</si>
  <si>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</si>
  <si>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</si>
  <si>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</si>
  <si>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</si>
  <si>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</si>
  <si>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</si>
  <si>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</si>
  <si>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</si>
  <si>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</si>
  <si>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</si>
  <si>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</si>
  <si>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</si>
  <si>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</si>
  <si>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</si>
  <si>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</si>
  <si>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</si>
  <si>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</si>
  <si>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</si>
  <si>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</si>
  <si>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</si>
  <si>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</si>
  <si>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</si>
  <si>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</si>
  <si>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</si>
  <si>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</si>
  <si>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</si>
  <si>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</si>
  <si>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</si>
  <si>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</si>
  <si>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</si>
  <si>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</si>
  <si>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</si>
  <si>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</si>
  <si>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</si>
  <si>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</si>
  <si>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</si>
  <si>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</si>
  <si>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</si>
  <si>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</si>
  <si>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</si>
  <si>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</si>
  <si>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</si>
  <si>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</si>
  <si>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</si>
  <si>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</si>
  <si>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</si>
  <si>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</si>
  <si>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</si>
  <si>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</si>
  <si>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</si>
  <si>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</si>
  <si>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</si>
  <si>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</si>
  <si>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</si>
  <si>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</si>
  <si>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</si>
  <si>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</si>
  <si>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</si>
  <si>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</si>
  <si>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</si>
  <si>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</si>
  <si>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</si>
  <si>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</si>
  <si>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</si>
  <si>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</si>
  <si>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</si>
  <si>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</si>
  <si>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</si>
  <si>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</si>
  <si>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</si>
  <si>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</si>
  <si>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</si>
  <si>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</si>
  <si>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</si>
  <si>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</si>
  <si>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</si>
  <si>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</si>
  <si>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</si>
  <si>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</si>
  <si>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</si>
  <si>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</si>
  <si>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</si>
  <si>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</si>
  <si>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</si>
  <si>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</si>
  <si>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</si>
  <si>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</si>
  <si>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</si>
  <si>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</si>
  <si>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</si>
  <si>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</si>
  <si>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</si>
  <si>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</si>
  <si>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</si>
  <si>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</si>
  <si>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</si>
  <si>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</si>
  <si>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</si>
  <si>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</si>
  <si>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</si>
  <si>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</si>
  <si>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</si>
  <si>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</si>
  <si>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</si>
  <si>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</si>
  <si>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</si>
  <si>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</si>
  <si>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</si>
  <si>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</si>
  <si>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</si>
  <si>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</si>
  <si>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</si>
  <si>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</si>
  <si>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</si>
  <si>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</si>
  <si>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</si>
  <si>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</si>
  <si>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</si>
  <si>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</si>
  <si>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</si>
  <si>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</si>
  <si>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</si>
  <si>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</si>
  <si>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</si>
  <si>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</si>
  <si>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</si>
  <si>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</si>
  <si>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</si>
  <si>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</si>
  <si>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</si>
  <si>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</si>
  <si>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</si>
  <si>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</si>
  <si>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</si>
  <si>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</si>
  <si>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</si>
  <si>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</si>
  <si>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</si>
  <si>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</si>
  <si>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</si>
  <si>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</si>
  <si>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</si>
  <si>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</si>
  <si>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</si>
  <si>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</si>
  <si>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</si>
  <si>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</si>
  <si>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</si>
  <si>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</si>
  <si>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</si>
  <si>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</si>
  <si>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</si>
  <si>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</si>
  <si>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</si>
  <si>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</si>
  <si>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</si>
  <si>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</si>
  <si>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</si>
  <si>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</si>
  <si>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</si>
  <si>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</si>
  <si>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</si>
  <si>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</si>
  <si>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</si>
  <si>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</si>
  <si>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</si>
  <si>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</si>
  <si>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</si>
  <si>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</si>
  <si>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</si>
  <si>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</si>
  <si>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</si>
  <si>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</si>
  <si>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</si>
  <si>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</si>
  <si>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</si>
  <si>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</si>
  <si>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</si>
  <si>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</si>
  <si>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</si>
  <si>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</si>
  <si>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</si>
  <si>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</si>
  <si>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</si>
  <si>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</si>
  <si>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</si>
  <si>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</si>
  <si>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</si>
  <si>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</si>
  <si>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</si>
  <si>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</si>
  <si>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</si>
  <si>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</si>
  <si>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</si>
  <si>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</si>
  <si>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</si>
  <si>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</si>
  <si>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</si>
  <si>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</si>
  <si>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</si>
  <si>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</si>
  <si>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</si>
  <si>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</si>
  <si>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</si>
  <si>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</si>
  <si>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</si>
  <si>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</si>
  <si>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</si>
  <si>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</si>
  <si>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</si>
  <si>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</si>
  <si>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</si>
  <si>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</si>
  <si>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</si>
  <si>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</si>
  <si>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</si>
  <si>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</si>
  <si>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</si>
  <si>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</si>
  <si>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</si>
  <si>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</si>
  <si>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</si>
  <si>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</si>
  <si>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</si>
  <si>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</si>
  <si>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</si>
  <si>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</si>
  <si>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</si>
  <si>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</si>
  <si>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</si>
  <si>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</si>
  <si>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</si>
  <si>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</si>
  <si>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</si>
  <si>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</si>
  <si>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</si>
  <si>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</si>
  <si>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</si>
  <si>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</si>
  <si>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</si>
  <si>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</si>
  <si>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</si>
  <si>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</si>
  <si>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</si>
  <si>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</si>
  <si>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</si>
  <si>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</si>
  <si>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</si>
  <si>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</si>
  <si>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</si>
  <si>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</si>
  <si>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</si>
  <si>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</si>
  <si>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</si>
  <si>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</si>
  <si>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</si>
  <si>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</si>
  <si>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</si>
  <si>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</si>
  <si>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</si>
  <si>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</si>
  <si>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</si>
  <si>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</si>
  <si>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</si>
  <si>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</si>
  <si>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</si>
  <si>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</si>
  <si>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</si>
  <si>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</si>
  <si>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</si>
  <si>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</si>
  <si>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</si>
  <si>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</si>
  <si>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</si>
  <si>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</si>
  <si>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</si>
  <si>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</si>
  <si>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</si>
  <si>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</si>
  <si>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</si>
  <si>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</si>
  <si>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</si>
  <si>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</si>
  <si>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</si>
  <si>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</si>
  <si>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</si>
  <si>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</si>
  <si>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</si>
  <si>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</si>
  <si>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</si>
  <si>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</si>
  <si>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</si>
  <si>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</si>
  <si>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</si>
  <si>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</si>
  <si>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</si>
  <si>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</si>
  <si>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</si>
  <si>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</si>
  <si>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</si>
  <si>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</si>
  <si>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</si>
  <si>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</si>
  <si>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</si>
  <si>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</si>
  <si>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</si>
  <si>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</si>
  <si>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</si>
  <si>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</si>
  <si>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</si>
  <si>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</si>
  <si>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</si>
  <si>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</si>
  <si>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</si>
  <si>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</si>
  <si>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</si>
  <si>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</si>
  <si>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</si>
  <si>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</si>
  <si>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</si>
  <si>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</si>
  <si>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</si>
  <si>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</si>
  <si>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</si>
  <si>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</si>
  <si>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</si>
  <si>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</si>
  <si>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</si>
  <si>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</si>
  <si>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</si>
  <si>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</si>
  <si>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</si>
  <si>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</si>
  <si>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</si>
  <si>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</si>
  <si>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</si>
  <si>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</si>
  <si>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</si>
  <si>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</si>
  <si>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</si>
  <si>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</si>
  <si>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</si>
  <si>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</si>
  <si>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</si>
  <si>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</si>
  <si>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</si>
  <si>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</si>
  <si>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</si>
  <si>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</si>
  <si>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</si>
  <si>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</si>
  <si>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</si>
  <si>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</si>
  <si>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</si>
  <si>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</si>
  <si>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</si>
  <si>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</si>
  <si>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</si>
  <si>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</si>
  <si>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</si>
  <si>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</si>
  <si>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</si>
  <si>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</si>
  <si>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</si>
  <si>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</si>
  <si>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</si>
  <si>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</si>
  <si>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</si>
  <si>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</si>
  <si>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</si>
  <si>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</si>
  <si>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</si>
  <si>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</si>
  <si>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</si>
  <si>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</si>
  <si>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</si>
  <si>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</si>
  <si>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</si>
  <si>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</si>
  <si>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</si>
  <si>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</si>
  <si>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</si>
  <si>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</si>
  <si>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</si>
  <si>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</si>
  <si>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</si>
  <si>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</si>
  <si>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</si>
  <si>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</si>
  <si>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</si>
  <si>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</si>
  <si>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</si>
  <si>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</si>
  <si>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</si>
  <si>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</si>
  <si>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</si>
  <si>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</si>
  <si>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</si>
  <si>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</si>
  <si>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</si>
  <si>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</si>
  <si>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</si>
  <si>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</si>
  <si>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</si>
  <si>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</si>
  <si>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</si>
  <si>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</si>
  <si>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</si>
  <si>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</si>
  <si>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</si>
  <si>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</si>
  <si>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</si>
  <si>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</si>
  <si>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</si>
  <si>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</si>
  <si>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</si>
  <si>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</si>
  <si>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</si>
  <si>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</si>
  <si>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</si>
  <si>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</si>
  <si>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</si>
  <si>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</si>
  <si>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</si>
  <si>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</si>
  <si>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</si>
  <si>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</si>
  <si>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</si>
  <si>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</si>
  <si>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</si>
  <si>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</si>
  <si>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</si>
  <si>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</si>
  <si>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</si>
  <si>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</si>
  <si>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</si>
  <si>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</si>
  <si>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</si>
  <si>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</si>
  <si>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</si>
  <si>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</si>
  <si>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</si>
  <si>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</si>
  <si>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</si>
  <si>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</si>
  <si>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</si>
  <si>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</si>
  <si>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</si>
  <si>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</si>
  <si>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</si>
  <si>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</si>
  <si>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</si>
  <si>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</si>
  <si>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</si>
  <si>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</si>
  <si>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</si>
  <si>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</si>
  <si>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</si>
  <si>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</si>
  <si>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</si>
  <si>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</si>
  <si>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</si>
  <si>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</si>
  <si>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</si>
  <si>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</si>
  <si>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</si>
  <si>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</si>
  <si>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</si>
  <si>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</si>
  <si>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</si>
  <si>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</si>
  <si>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</si>
  <si>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</si>
  <si>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</si>
  <si>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</si>
  <si>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</si>
  <si>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</si>
  <si>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</si>
  <si>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</si>
  <si>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</si>
  <si>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</si>
  <si>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</si>
  <si>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</si>
  <si>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</si>
  <si>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</si>
  <si>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</si>
  <si>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</si>
  <si>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</si>
  <si>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</si>
  <si>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</si>
  <si>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</si>
  <si>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</si>
  <si>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</si>
  <si>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</si>
  <si>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</si>
  <si>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</si>
  <si>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</si>
  <si>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</si>
  <si>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</si>
  <si>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</si>
  <si>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</si>
  <si>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</si>
  <si>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</si>
  <si>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</si>
  <si>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</si>
  <si>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</si>
  <si>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</si>
  <si>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</si>
  <si>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</si>
  <si>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</si>
  <si>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</si>
  <si>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</si>
  <si>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</si>
  <si>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</si>
  <si>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</si>
  <si>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</si>
  <si>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</si>
  <si>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</si>
  <si>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</si>
  <si>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</si>
  <si>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</si>
  <si>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</si>
  <si>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</si>
  <si>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</si>
  <si>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</si>
  <si>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</si>
  <si>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</si>
  <si>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</si>
  <si>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</si>
  <si>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</si>
  <si>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</si>
  <si>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</si>
  <si>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</si>
  <si>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</si>
  <si>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</si>
  <si>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</si>
  <si>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</si>
  <si>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</si>
  <si>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</si>
  <si>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</si>
  <si>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</si>
  <si>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</si>
  <si>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</si>
  <si>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</si>
  <si>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</si>
  <si>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</si>
  <si>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</si>
  <si>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</si>
  <si>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</si>
  <si>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</si>
  <si>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</si>
  <si>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</si>
  <si>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</si>
  <si>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</si>
  <si>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</si>
  <si>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</si>
  <si>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</si>
  <si>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</si>
  <si>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</si>
  <si>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</si>
  <si>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</si>
  <si>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</si>
  <si>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</si>
  <si>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</si>
  <si>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</si>
  <si>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</si>
  <si>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</si>
  <si>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</si>
  <si>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</si>
  <si>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</si>
  <si>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</si>
  <si>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</si>
  <si>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</si>
  <si>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</si>
  <si>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</si>
  <si>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</si>
  <si>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</si>
  <si>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</si>
  <si>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</si>
  <si>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</si>
  <si>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</si>
  <si>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</si>
  <si>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</si>
  <si>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</si>
  <si>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</si>
  <si>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</si>
  <si>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</si>
  <si>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</si>
  <si>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</si>
  <si>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</si>
  <si>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</si>
  <si>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</si>
  <si>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</si>
  <si>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</si>
  <si>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</si>
  <si>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</si>
  <si>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</si>
  <si>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</si>
  <si>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</si>
  <si>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</si>
  <si>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</si>
  <si>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</si>
  <si>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</si>
  <si>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</si>
  <si>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</si>
  <si>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</si>
  <si>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</si>
  <si>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</si>
  <si>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</si>
  <si>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</si>
  <si>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</si>
  <si>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</si>
  <si>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</si>
  <si>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</si>
  <si>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</si>
  <si>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</si>
  <si>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</si>
  <si>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</si>
  <si>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</si>
  <si>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</si>
  <si>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</si>
  <si>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</si>
  <si>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</si>
  <si>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</si>
  <si>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</si>
  <si>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</si>
  <si>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</si>
  <si>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</si>
  <si>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</si>
  <si>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</si>
  <si>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</si>
  <si>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</si>
  <si>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</si>
  <si>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</si>
  <si>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</si>
  <si>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</si>
  <si>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</si>
  <si>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</si>
  <si>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</si>
  <si>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</si>
  <si>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</si>
  <si>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</si>
  <si>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</si>
  <si>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</si>
  <si>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</si>
  <si>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</si>
  <si>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</si>
  <si>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</si>
  <si>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</si>
  <si>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</si>
  <si>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</si>
  <si>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</si>
  <si>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</si>
  <si>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</si>
  <si>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</si>
  <si>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</si>
  <si>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</si>
  <si>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</si>
  <si>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</si>
  <si>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</si>
  <si>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</si>
  <si>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</si>
  <si>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</si>
  <si>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</si>
  <si>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</si>
  <si>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</si>
  <si>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</si>
  <si>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</si>
  <si>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</si>
  <si>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</si>
  <si>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</si>
  <si>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</si>
  <si>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</si>
  <si>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</si>
  <si>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</si>
  <si>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</si>
  <si>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</si>
  <si>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</si>
  <si>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</si>
  <si>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</si>
  <si>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</si>
  <si>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</si>
  <si>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</si>
  <si>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</si>
  <si>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</si>
  <si>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</si>
  <si>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</si>
  <si>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</si>
  <si>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</si>
  <si>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</si>
  <si>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</si>
  <si>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</si>
  <si>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</si>
  <si>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</si>
  <si>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</si>
  <si>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</si>
  <si>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</si>
  <si>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</si>
  <si>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</si>
  <si>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</si>
  <si>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</si>
  <si>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</si>
  <si>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</si>
  <si>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</si>
  <si>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</si>
  <si>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</si>
  <si>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</si>
  <si>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</si>
  <si>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</si>
  <si>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</si>
  <si>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</si>
  <si>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</si>
  <si>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</si>
  <si>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</si>
  <si>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</si>
  <si>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</si>
  <si>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</si>
  <si>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</si>
  <si>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</si>
  <si>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</si>
  <si>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</si>
  <si>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</si>
  <si>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</si>
  <si>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</si>
  <si>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</si>
  <si>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</si>
  <si>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</si>
  <si>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</si>
  <si>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</si>
  <si>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</si>
  <si>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</si>
  <si>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</si>
  <si>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</si>
  <si>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</si>
  <si>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</si>
  <si>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</si>
  <si>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</si>
  <si>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</si>
  <si>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</si>
  <si>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</si>
  <si>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</si>
  <si>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</si>
  <si>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</si>
  <si>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</si>
  <si>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</si>
  <si>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</si>
  <si>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</si>
  <si>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</si>
  <si>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</si>
  <si>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</si>
  <si>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</si>
  <si>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</si>
  <si>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</si>
  <si>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</si>
  <si>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</si>
  <si>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</si>
  <si>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</si>
  <si>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</si>
  <si>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</si>
  <si>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</si>
  <si>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</si>
  <si>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</si>
  <si>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</si>
  <si>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</si>
  <si>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</si>
  <si>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</si>
  <si>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</si>
  <si>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</si>
  <si>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</si>
  <si>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</si>
  <si>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</si>
  <si>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</si>
  <si>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</si>
  <si>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</si>
  <si>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</si>
  <si>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</si>
  <si>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</si>
  <si>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</si>
  <si>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</si>
  <si>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</si>
  <si>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</si>
  <si>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</si>
  <si>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</si>
  <si>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</si>
  <si>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</si>
  <si>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</si>
  <si>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</si>
  <si>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</si>
  <si>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</si>
  <si>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</si>
  <si>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</si>
  <si>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</si>
  <si>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</si>
  <si>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</si>
  <si>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</si>
  <si>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</si>
  <si>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</si>
  <si>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</si>
  <si>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</si>
  <si>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</si>
  <si>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</si>
  <si>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</si>
  <si>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</si>
  <si>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</si>
  <si>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</si>
  <si>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</si>
  <si>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</si>
  <si>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</si>
  <si>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</si>
  <si>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</si>
  <si>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</si>
  <si>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</si>
  <si>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</si>
  <si>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</si>
  <si>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</si>
  <si>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</si>
  <si>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</si>
  <si>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</si>
  <si>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</si>
  <si>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</si>
  <si>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</si>
  <si>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</si>
  <si>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</si>
  <si>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</si>
  <si>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</si>
  <si>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</si>
  <si>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</si>
  <si>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</si>
  <si>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</si>
  <si>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</si>
  <si>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</si>
  <si>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</si>
  <si>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</si>
  <si>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</si>
  <si>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</si>
  <si>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</si>
  <si>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</si>
  <si>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</si>
  <si>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</si>
  <si>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</si>
  <si>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</si>
  <si>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</si>
  <si>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</si>
  <si>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</si>
  <si>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</si>
  <si>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</si>
  <si>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</si>
  <si>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</si>
  <si>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</si>
  <si>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</si>
  <si>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</si>
  <si>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</si>
  <si>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</si>
  <si>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</si>
  <si>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</si>
  <si>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</si>
  <si>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</si>
  <si>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</si>
  <si>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</si>
  <si>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</si>
  <si>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</si>
  <si>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</si>
  <si>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</si>
  <si>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</si>
  <si>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</si>
  <si>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</si>
  <si>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</si>
  <si>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</si>
  <si>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</si>
  <si>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</si>
  <si>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</si>
  <si>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</si>
  <si>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</si>
  <si>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</si>
  <si>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</si>
  <si>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</si>
  <si>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</si>
  <si>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</si>
  <si>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</si>
  <si>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</si>
  <si>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</si>
  <si>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</si>
  <si>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</si>
  <si>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</si>
  <si>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</si>
  <si>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</si>
  <si>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</si>
  <si>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</si>
  <si>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</si>
  <si>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</si>
  <si>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</si>
  <si>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</si>
  <si>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</si>
  <si>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</si>
  <si>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</si>
  <si>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</si>
  <si>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</si>
  <si>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</si>
  <si>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</si>
  <si>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</si>
  <si>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</si>
  <si>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</si>
  <si>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1/15/07</t>
  </si>
  <si>
    <t>12/22/04</t>
  </si>
  <si>
    <t>8/15/03</t>
  </si>
  <si>
    <t>8/15/01</t>
  </si>
  <si>
    <t>1/15/25</t>
  </si>
  <si>
    <t>Dresden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</si>
</sst>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63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showGridLines="0" tabSelected="1" zoomScale="80" zoomScaleNormal="80" zoomScalePageLayoutView="125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142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400+400+258213.15+100</f>
        <v>259113.15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84433.65</v>
      </c>
      <c r="I13" s="18">
        <v>10610</v>
      </c>
      <c r="J13" s="67">
        <f>SUM(I442)</f>
        <v>87557.65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133710.86+53204.66</f>
        <v>186915.52</v>
      </c>
      <c r="G14" s="18">
        <f>16621.7+17.25</f>
        <v>16638.95</v>
      </c>
      <c r="H14" s="18">
        <v>-1136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6578.37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452607.04</v>
      </c>
      <c r="G19" s="41">
        <f>SUM(G9:G18)</f>
        <v>16638.95</v>
      </c>
      <c r="H19" s="41">
        <f>SUM(H9:H18)</f>
        <v>83297.649999999994</v>
      </c>
      <c r="I19" s="41">
        <f>SUM(I9:I18)</f>
        <v>10610</v>
      </c>
      <c r="J19" s="41">
        <f>SUM(J9:J18)</f>
        <v>87557.65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-63780.89</v>
      </c>
      <c r="G22" s="18">
        <v>29320.21</v>
      </c>
      <c r="H22" s="18">
        <v>88982.35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74017.64+2110.15</f>
        <v>76127.789999999994</v>
      </c>
      <c r="G24" s="18">
        <v>284.97000000000003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-260.13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-25.42-5.94-520.91</f>
        <v>-552.27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8004.95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2000+77619.99</f>
        <v>79619.990000000005</v>
      </c>
      <c r="G31" s="18"/>
      <c r="H31" s="18">
        <v>1049.78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91154.49</v>
      </c>
      <c r="G32" s="41">
        <f>SUM(G22:G31)</f>
        <v>37610.129999999997</v>
      </c>
      <c r="H32" s="41">
        <f>SUM(H22:H31)</f>
        <v>90032.13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-6734.48</v>
      </c>
      <c r="I48" s="18"/>
      <c r="J48" s="13">
        <f>SUM(I459)</f>
        <v>87557.65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-20971.18</v>
      </c>
      <c r="H49" s="18"/>
      <c r="I49" s="18">
        <v>10610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361452.55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361452.55</v>
      </c>
      <c r="G51" s="41">
        <f>SUM(G35:G50)</f>
        <v>-20971.18</v>
      </c>
      <c r="H51" s="41">
        <f>SUM(H35:H50)</f>
        <v>-6734.48</v>
      </c>
      <c r="I51" s="41">
        <f>SUM(I35:I50)</f>
        <v>10610</v>
      </c>
      <c r="J51" s="41">
        <f>SUM(J35:J50)</f>
        <v>87557.65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452607.04</v>
      </c>
      <c r="G52" s="41">
        <f>G51+G32</f>
        <v>16638.949999999997</v>
      </c>
      <c r="H52" s="41">
        <f>H51+H32</f>
        <v>83297.650000000009</v>
      </c>
      <c r="I52" s="41">
        <f>I51+I32</f>
        <v>10610</v>
      </c>
      <c r="J52" s="41">
        <f>J51+J32</f>
        <v>87557.65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11862619+6554065-2599351</f>
        <v>15817333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15817333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154453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982798.22+1920750.95-78905</f>
        <v>2824644.17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48391.24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f>665732.7</f>
        <v>665732.69999999995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3693221.1100000003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713.25</v>
      </c>
      <c r="G96" s="18"/>
      <c r="H96" s="18"/>
      <c r="I96" s="18"/>
      <c r="J96" s="18">
        <v>4456.8999999999996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469185.73-9025.99-21906.4</f>
        <v>438253.33999999997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2815.94+140925</f>
        <v>143740.94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27234.5</v>
      </c>
      <c r="G101" s="18">
        <v>9548.09</v>
      </c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100000</v>
      </c>
      <c r="G102" s="18"/>
      <c r="H102" s="18">
        <v>16361.22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19407.07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358.2</v>
      </c>
      <c r="G110" s="18">
        <v>278.58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291453.96000000002</v>
      </c>
      <c r="G111" s="41">
        <f>SUM(G96:G110)</f>
        <v>448080.01</v>
      </c>
      <c r="H111" s="41">
        <f>SUM(H96:H110)</f>
        <v>16361.22</v>
      </c>
      <c r="I111" s="41">
        <f>SUM(I96:I110)</f>
        <v>0</v>
      </c>
      <c r="J111" s="41">
        <f>SUM(J96:J110)</f>
        <v>4456.8999999999996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19802008.07</v>
      </c>
      <c r="G112" s="41">
        <f>G60+G111</f>
        <v>448080.01</v>
      </c>
      <c r="H112" s="41">
        <f>H60+H79+H94+H111</f>
        <v>16361.22</v>
      </c>
      <c r="I112" s="41">
        <f>I60+I111</f>
        <v>0</v>
      </c>
      <c r="J112" s="41">
        <f>J60+J111</f>
        <v>4456.8999999999996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2599351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2599351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601215.37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16121.89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f>7941.24+961.2+8218.26</f>
        <v>17120.7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634457.96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3233808.96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31476.99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517.79999999999995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195377.71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517.79999999999995</v>
      </c>
      <c r="H162" s="41">
        <f>SUM(H150:H161)</f>
        <v>226854.69999999998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517.79999999999995</v>
      </c>
      <c r="H169" s="41">
        <f>H147+H162+SUM(H163:H168)</f>
        <v>226854.69999999998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9025.99+21906.4</f>
        <v>30932.39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30932.39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30932.39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23035817.030000001</v>
      </c>
      <c r="G193" s="47">
        <f>G112+G140+G169+G192</f>
        <v>479530.2</v>
      </c>
      <c r="H193" s="47">
        <f>H112+H140+H169+H192</f>
        <v>243215.91999999998</v>
      </c>
      <c r="I193" s="47">
        <f>I112+I140+I169+I192</f>
        <v>0</v>
      </c>
      <c r="J193" s="47">
        <f>J112+J140+J192</f>
        <v>4456.8999999999996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2308690.46</v>
      </c>
      <c r="G197" s="18">
        <v>786687.94</v>
      </c>
      <c r="H197" s="18">
        <v>54483.78</v>
      </c>
      <c r="I197" s="18">
        <v>78553.490000000005</v>
      </c>
      <c r="J197" s="18">
        <v>154642.23000000001</v>
      </c>
      <c r="K197" s="18">
        <v>-1644.27</v>
      </c>
      <c r="L197" s="19">
        <f>SUM(F197:K197)</f>
        <v>3381413.63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719464.67</v>
      </c>
      <c r="G198" s="18">
        <v>431543.8</v>
      </c>
      <c r="H198" s="18">
        <v>29385.78</v>
      </c>
      <c r="I198" s="18">
        <v>3106.2</v>
      </c>
      <c r="J198" s="18">
        <v>1064.07</v>
      </c>
      <c r="K198" s="18">
        <v>0</v>
      </c>
      <c r="L198" s="19">
        <f>SUM(F198:K198)</f>
        <v>1184564.52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17775</v>
      </c>
      <c r="G200" s="18">
        <v>1659.95</v>
      </c>
      <c r="H200" s="18">
        <v>6012.95</v>
      </c>
      <c r="I200" s="18">
        <v>0</v>
      </c>
      <c r="J200" s="18">
        <v>0</v>
      </c>
      <c r="K200" s="18">
        <v>0</v>
      </c>
      <c r="L200" s="19">
        <f>SUM(F200:K200)</f>
        <v>25447.9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192830.31</v>
      </c>
      <c r="G202" s="18">
        <v>89016.67</v>
      </c>
      <c r="H202" s="18">
        <v>852.8</v>
      </c>
      <c r="I202" s="18">
        <v>2774.09</v>
      </c>
      <c r="J202" s="18">
        <v>0</v>
      </c>
      <c r="K202" s="18">
        <v>100</v>
      </c>
      <c r="L202" s="19">
        <f t="shared" ref="L202:L208" si="0">SUM(F202:K202)</f>
        <v>285573.87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88746.8</v>
      </c>
      <c r="G203" s="18">
        <v>82066.11</v>
      </c>
      <c r="H203" s="18">
        <v>3755.87</v>
      </c>
      <c r="I203" s="18">
        <v>25559.75</v>
      </c>
      <c r="J203" s="18">
        <v>6194.03</v>
      </c>
      <c r="K203" s="18">
        <v>0</v>
      </c>
      <c r="L203" s="19">
        <f t="shared" si="0"/>
        <v>206322.56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4447.34</v>
      </c>
      <c r="G204" s="18">
        <v>334.96</v>
      </c>
      <c r="H204" s="18">
        <v>294294.17</v>
      </c>
      <c r="I204" s="18">
        <v>0</v>
      </c>
      <c r="J204" s="18">
        <v>0</v>
      </c>
      <c r="K204" s="18">
        <v>2977.52</v>
      </c>
      <c r="L204" s="19">
        <f t="shared" si="0"/>
        <v>302053.99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294148.88</v>
      </c>
      <c r="G205" s="18">
        <v>291576.43</v>
      </c>
      <c r="H205" s="18">
        <v>21984.83</v>
      </c>
      <c r="I205" s="18">
        <v>3333.53</v>
      </c>
      <c r="J205" s="18">
        <v>0</v>
      </c>
      <c r="K205" s="18">
        <v>795</v>
      </c>
      <c r="L205" s="19">
        <f t="shared" si="0"/>
        <v>611838.67000000004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317120.93</v>
      </c>
      <c r="G207" s="18">
        <v>143996.16</v>
      </c>
      <c r="H207" s="18">
        <v>107417.66</v>
      </c>
      <c r="I207" s="18">
        <v>103399.67</v>
      </c>
      <c r="J207" s="18">
        <v>2955.55</v>
      </c>
      <c r="K207" s="18">
        <v>-13914.59</v>
      </c>
      <c r="L207" s="19">
        <f t="shared" si="0"/>
        <v>660975.38000000012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9568.2199999999993</v>
      </c>
      <c r="I208" s="18">
        <v>0</v>
      </c>
      <c r="J208" s="18">
        <v>0</v>
      </c>
      <c r="K208" s="18">
        <v>0</v>
      </c>
      <c r="L208" s="19">
        <f t="shared" si="0"/>
        <v>9568.2199999999993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3943224.3899999997</v>
      </c>
      <c r="G211" s="41">
        <f t="shared" si="1"/>
        <v>1826882.0199999998</v>
      </c>
      <c r="H211" s="41">
        <f t="shared" si="1"/>
        <v>527756.05999999994</v>
      </c>
      <c r="I211" s="41">
        <f t="shared" si="1"/>
        <v>216726.72999999998</v>
      </c>
      <c r="J211" s="41">
        <f t="shared" si="1"/>
        <v>164855.88</v>
      </c>
      <c r="K211" s="41">
        <f t="shared" si="1"/>
        <v>-11686.34</v>
      </c>
      <c r="L211" s="41">
        <f t="shared" si="1"/>
        <v>6667758.7400000002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4296851.66</v>
      </c>
      <c r="G233" s="18">
        <v>1475556.93</v>
      </c>
      <c r="H233" s="18">
        <v>68371.210000000006</v>
      </c>
      <c r="I233" s="18">
        <v>134567.51999999999</v>
      </c>
      <c r="J233" s="18">
        <v>156300.18</v>
      </c>
      <c r="K233" s="18">
        <v>3607.72</v>
      </c>
      <c r="L233" s="19">
        <f>SUM(F233:K233)</f>
        <v>6135255.2199999988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878138.18</v>
      </c>
      <c r="G234" s="18">
        <v>414012.85</v>
      </c>
      <c r="H234" s="18">
        <v>32222.11</v>
      </c>
      <c r="I234" s="18">
        <v>13729.79</v>
      </c>
      <c r="J234" s="18">
        <v>753.85</v>
      </c>
      <c r="K234" s="18">
        <v>0</v>
      </c>
      <c r="L234" s="19">
        <f>SUM(F234:K234)</f>
        <v>1338856.7800000003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48463.09</v>
      </c>
      <c r="I235" s="18">
        <v>0</v>
      </c>
      <c r="J235" s="18">
        <v>0</v>
      </c>
      <c r="K235" s="18">
        <v>0</v>
      </c>
      <c r="L235" s="19">
        <f>SUM(F235:K235)</f>
        <v>48463.09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407688.22</v>
      </c>
      <c r="G236" s="18">
        <v>106762.3</v>
      </c>
      <c r="H236" s="18">
        <v>178328.78</v>
      </c>
      <c r="I236" s="18">
        <v>11281.95</v>
      </c>
      <c r="J236" s="18">
        <v>36151.68</v>
      </c>
      <c r="K236" s="18">
        <v>4885</v>
      </c>
      <c r="L236" s="19">
        <f>SUM(F236:K236)</f>
        <v>745097.92999999993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653425.59</v>
      </c>
      <c r="G238" s="18">
        <v>266937.53999999998</v>
      </c>
      <c r="H238" s="18">
        <v>7601.7</v>
      </c>
      <c r="I238" s="18">
        <v>9006.08</v>
      </c>
      <c r="J238" s="18">
        <v>0</v>
      </c>
      <c r="K238" s="18">
        <v>215</v>
      </c>
      <c r="L238" s="19">
        <f t="shared" ref="L238:L244" si="4">SUM(F238:K238)</f>
        <v>937185.9099999998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145876.19</v>
      </c>
      <c r="G239" s="18">
        <v>185127.55</v>
      </c>
      <c r="H239" s="18">
        <v>24017.37</v>
      </c>
      <c r="I239" s="18">
        <v>53796.44</v>
      </c>
      <c r="J239" s="18">
        <v>21884.01</v>
      </c>
      <c r="K239" s="18">
        <v>686</v>
      </c>
      <c r="L239" s="19">
        <f t="shared" si="4"/>
        <v>431387.56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8337.34</v>
      </c>
      <c r="G240" s="18">
        <v>627.92999999999995</v>
      </c>
      <c r="H240" s="18">
        <v>551707.47</v>
      </c>
      <c r="I240" s="18">
        <v>0</v>
      </c>
      <c r="J240" s="18">
        <v>0</v>
      </c>
      <c r="K240" s="18">
        <v>5581.9</v>
      </c>
      <c r="L240" s="19">
        <f t="shared" si="4"/>
        <v>566254.64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624582.12</v>
      </c>
      <c r="G241" s="18">
        <v>712875.6</v>
      </c>
      <c r="H241" s="18">
        <v>55881.14</v>
      </c>
      <c r="I241" s="18">
        <v>19465.330000000002</v>
      </c>
      <c r="J241" s="18">
        <v>123.41</v>
      </c>
      <c r="K241" s="18">
        <v>4804</v>
      </c>
      <c r="L241" s="19">
        <f t="shared" si="4"/>
        <v>1417731.5999999999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521406.33</v>
      </c>
      <c r="G243" s="18">
        <v>234898.03</v>
      </c>
      <c r="H243" s="18">
        <v>234080.91</v>
      </c>
      <c r="I243" s="18">
        <v>215333.18</v>
      </c>
      <c r="J243" s="18">
        <v>5337.74</v>
      </c>
      <c r="K243" s="18">
        <v>-26085.41</v>
      </c>
      <c r="L243" s="19">
        <f t="shared" si="4"/>
        <v>1184970.78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167174.6</v>
      </c>
      <c r="I244" s="18">
        <v>0</v>
      </c>
      <c r="J244" s="18">
        <v>0</v>
      </c>
      <c r="K244" s="18">
        <v>0</v>
      </c>
      <c r="L244" s="19">
        <f t="shared" si="4"/>
        <v>167174.6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7536305.6299999999</v>
      </c>
      <c r="G247" s="41">
        <f t="shared" si="5"/>
        <v>3396798.7299999995</v>
      </c>
      <c r="H247" s="41">
        <f t="shared" si="5"/>
        <v>1367848.3800000001</v>
      </c>
      <c r="I247" s="41">
        <f t="shared" si="5"/>
        <v>457180.29</v>
      </c>
      <c r="J247" s="41">
        <f t="shared" si="5"/>
        <v>220550.87</v>
      </c>
      <c r="K247" s="41">
        <f t="shared" si="5"/>
        <v>-6305.7900000000009</v>
      </c>
      <c r="L247" s="41">
        <f t="shared" si="5"/>
        <v>12972378.109999998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60273.11</v>
      </c>
      <c r="I255" s="18"/>
      <c r="J255" s="18"/>
      <c r="K255" s="18"/>
      <c r="L255" s="19">
        <f t="shared" si="6"/>
        <v>60273.11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60273.11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60273.11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11479530.02</v>
      </c>
      <c r="G257" s="41">
        <f t="shared" si="8"/>
        <v>5223680.7499999991</v>
      </c>
      <c r="H257" s="41">
        <f t="shared" si="8"/>
        <v>1955877.55</v>
      </c>
      <c r="I257" s="41">
        <f t="shared" si="8"/>
        <v>673907.02</v>
      </c>
      <c r="J257" s="41">
        <f t="shared" si="8"/>
        <v>385406.75</v>
      </c>
      <c r="K257" s="41">
        <f t="shared" si="8"/>
        <v>-17992.13</v>
      </c>
      <c r="L257" s="41">
        <f t="shared" si="8"/>
        <v>19700409.959999997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2247520.2400000002</v>
      </c>
      <c r="L260" s="19">
        <f>SUM(F260:K260)</f>
        <v>2247520.2400000002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1222889.04</v>
      </c>
      <c r="L261" s="19">
        <f>SUM(F261:K261)</f>
        <v>1222889.04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30932.39</v>
      </c>
      <c r="L263" s="19">
        <f>SUM(F263:K263)</f>
        <v>30932.39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3501341.6700000004</v>
      </c>
      <c r="L270" s="41">
        <f t="shared" si="9"/>
        <v>3501341.6700000004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11479530.02</v>
      </c>
      <c r="G271" s="42">
        <f t="shared" si="11"/>
        <v>5223680.7499999991</v>
      </c>
      <c r="H271" s="42">
        <f t="shared" si="11"/>
        <v>1955877.55</v>
      </c>
      <c r="I271" s="42">
        <f t="shared" si="11"/>
        <v>673907.02</v>
      </c>
      <c r="J271" s="42">
        <f t="shared" si="11"/>
        <v>385406.75</v>
      </c>
      <c r="K271" s="42">
        <f t="shared" si="11"/>
        <v>3483349.5400000005</v>
      </c>
      <c r="L271" s="42">
        <f t="shared" si="11"/>
        <v>23201751.629999999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4837.47</v>
      </c>
      <c r="G276" s="18">
        <v>2250</v>
      </c>
      <c r="H276" s="18">
        <v>7011.92</v>
      </c>
      <c r="I276" s="18">
        <v>0</v>
      </c>
      <c r="J276" s="18">
        <v>0</v>
      </c>
      <c r="K276" s="18">
        <v>0</v>
      </c>
      <c r="L276" s="19">
        <f>SUM(F276:K276)</f>
        <v>14099.39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91280.89</v>
      </c>
      <c r="G277" s="18">
        <v>0</v>
      </c>
      <c r="H277" s="18">
        <v>0</v>
      </c>
      <c r="I277" s="18">
        <v>0</v>
      </c>
      <c r="J277" s="18">
        <v>8123.9</v>
      </c>
      <c r="K277" s="18">
        <v>0</v>
      </c>
      <c r="L277" s="19">
        <f>SUM(F277:K277)</f>
        <v>99404.79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96118.36</v>
      </c>
      <c r="G290" s="42">
        <f t="shared" si="13"/>
        <v>2250</v>
      </c>
      <c r="H290" s="42">
        <f t="shared" si="13"/>
        <v>7011.92</v>
      </c>
      <c r="I290" s="42">
        <f t="shared" si="13"/>
        <v>0</v>
      </c>
      <c r="J290" s="42">
        <f t="shared" si="13"/>
        <v>8123.9</v>
      </c>
      <c r="K290" s="42">
        <f t="shared" si="13"/>
        <v>0</v>
      </c>
      <c r="L290" s="41">
        <f t="shared" si="13"/>
        <v>113504.18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17377.599999999999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17377.599999999999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89782.26</v>
      </c>
      <c r="G315" s="18">
        <v>3974.66</v>
      </c>
      <c r="H315" s="18">
        <v>0</v>
      </c>
      <c r="I315" s="18">
        <v>0</v>
      </c>
      <c r="J315" s="18">
        <v>2216</v>
      </c>
      <c r="K315" s="18">
        <v>0</v>
      </c>
      <c r="L315" s="19">
        <f>SUM(F315:K315)</f>
        <v>95972.92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11732.12</v>
      </c>
      <c r="G317" s="18">
        <v>0</v>
      </c>
      <c r="H317" s="18">
        <v>14467.45</v>
      </c>
      <c r="I317" s="18">
        <v>1335.8</v>
      </c>
      <c r="J317" s="18">
        <v>0</v>
      </c>
      <c r="K317" s="18">
        <v>25</v>
      </c>
      <c r="L317" s="19">
        <f>SUM(F317:K317)</f>
        <v>27560.37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5041.34</v>
      </c>
      <c r="I325" s="18">
        <v>0</v>
      </c>
      <c r="J325" s="18">
        <v>0</v>
      </c>
      <c r="K325" s="18">
        <v>0</v>
      </c>
      <c r="L325" s="19">
        <f t="shared" si="16"/>
        <v>5041.34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118891.97999999998</v>
      </c>
      <c r="G328" s="42">
        <f t="shared" si="17"/>
        <v>3974.66</v>
      </c>
      <c r="H328" s="42">
        <f t="shared" si="17"/>
        <v>19508.79</v>
      </c>
      <c r="I328" s="42">
        <f t="shared" si="17"/>
        <v>1335.8</v>
      </c>
      <c r="J328" s="42">
        <f t="shared" si="17"/>
        <v>2216</v>
      </c>
      <c r="K328" s="42">
        <f t="shared" si="17"/>
        <v>25</v>
      </c>
      <c r="L328" s="41">
        <f t="shared" si="17"/>
        <v>145952.22999999998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215010.33999999997</v>
      </c>
      <c r="G338" s="41">
        <f t="shared" si="20"/>
        <v>6224.66</v>
      </c>
      <c r="H338" s="41">
        <f t="shared" si="20"/>
        <v>26520.71</v>
      </c>
      <c r="I338" s="41">
        <f t="shared" si="20"/>
        <v>1335.8</v>
      </c>
      <c r="J338" s="41">
        <f t="shared" si="20"/>
        <v>10339.9</v>
      </c>
      <c r="K338" s="41">
        <f t="shared" si="20"/>
        <v>25</v>
      </c>
      <c r="L338" s="41">
        <f t="shared" si="20"/>
        <v>259456.40999999997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215010.33999999997</v>
      </c>
      <c r="G352" s="41">
        <f>G338</f>
        <v>6224.66</v>
      </c>
      <c r="H352" s="41">
        <f>H338</f>
        <v>26520.71</v>
      </c>
      <c r="I352" s="41">
        <f>I338</f>
        <v>1335.8</v>
      </c>
      <c r="J352" s="41">
        <f>J338</f>
        <v>10339.9</v>
      </c>
      <c r="K352" s="47">
        <f>K338+K351</f>
        <v>25</v>
      </c>
      <c r="L352" s="41">
        <f>L338+L351</f>
        <v>259456.40999999997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78887.23</v>
      </c>
      <c r="G358" s="18">
        <v>36056.26</v>
      </c>
      <c r="H358" s="18">
        <v>187.86</v>
      </c>
      <c r="I358" s="18">
        <v>147610.43</v>
      </c>
      <c r="J358" s="18">
        <v>343</v>
      </c>
      <c r="K358" s="18">
        <v>0</v>
      </c>
      <c r="L358" s="13">
        <f>SUM(F358:K358)</f>
        <v>263084.77999999997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238691</v>
      </c>
      <c r="I360" s="18">
        <v>0</v>
      </c>
      <c r="J360" s="18">
        <v>299</v>
      </c>
      <c r="K360" s="18">
        <v>0</v>
      </c>
      <c r="L360" s="19">
        <f>SUM(F360:K360)</f>
        <v>238990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78887.23</v>
      </c>
      <c r="G362" s="47">
        <f t="shared" si="22"/>
        <v>36056.26</v>
      </c>
      <c r="H362" s="47">
        <f t="shared" si="22"/>
        <v>238878.86</v>
      </c>
      <c r="I362" s="47">
        <f t="shared" si="22"/>
        <v>147610.43</v>
      </c>
      <c r="J362" s="47">
        <f t="shared" si="22"/>
        <v>642</v>
      </c>
      <c r="K362" s="47">
        <f t="shared" si="22"/>
        <v>0</v>
      </c>
      <c r="L362" s="47">
        <f t="shared" si="22"/>
        <v>502074.77999999997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139400.76</v>
      </c>
      <c r="G367" s="18"/>
      <c r="H367" s="18">
        <v>0</v>
      </c>
      <c r="I367" s="56">
        <f>SUM(F367:H367)</f>
        <v>139400.76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8209.67</v>
      </c>
      <c r="G368" s="63"/>
      <c r="H368" s="63">
        <v>0</v>
      </c>
      <c r="I368" s="56">
        <f>SUM(F368:H368)</f>
        <v>8209.67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147610.43000000002</v>
      </c>
      <c r="G369" s="47">
        <f>SUM(G367:G368)</f>
        <v>0</v>
      </c>
      <c r="H369" s="47">
        <f>SUM(H367:H368)</f>
        <v>0</v>
      </c>
      <c r="I369" s="47">
        <f>SUM(I367:I368)</f>
        <v>147610.43000000002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4456.8999999999996</v>
      </c>
      <c r="I400" s="18"/>
      <c r="J400" s="24" t="s">
        <v>289</v>
      </c>
      <c r="K400" s="24" t="s">
        <v>289</v>
      </c>
      <c r="L400" s="56">
        <f t="shared" si="26"/>
        <v>4456.8999999999996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4456.8999999999996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4456.8999999999996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4456.8999999999996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4456.8999999999996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718.99</v>
      </c>
      <c r="I426" s="18"/>
      <c r="J426" s="18"/>
      <c r="K426" s="18"/>
      <c r="L426" s="56">
        <f t="shared" si="29"/>
        <v>718.99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718.99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718.99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718.99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718.99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56125.57</v>
      </c>
      <c r="G442" s="18">
        <v>31432.080000000002</v>
      </c>
      <c r="H442" s="18"/>
      <c r="I442" s="56">
        <f t="shared" si="33"/>
        <v>87557.65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56125.57</v>
      </c>
      <c r="G446" s="13">
        <f>SUM(G439:G445)</f>
        <v>31432.080000000002</v>
      </c>
      <c r="H446" s="13">
        <f>SUM(H439:H445)</f>
        <v>0</v>
      </c>
      <c r="I446" s="13">
        <f>SUM(I439:I445)</f>
        <v>87557.65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56125.57</v>
      </c>
      <c r="G459" s="18">
        <v>31432.080000000002</v>
      </c>
      <c r="H459" s="18"/>
      <c r="I459" s="56">
        <f t="shared" si="34"/>
        <v>87557.65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56125.57</v>
      </c>
      <c r="G460" s="83">
        <f>SUM(G454:G459)</f>
        <v>31432.080000000002</v>
      </c>
      <c r="H460" s="83">
        <f>SUM(H454:H459)</f>
        <v>0</v>
      </c>
      <c r="I460" s="83">
        <f>SUM(I454:I459)</f>
        <v>87557.65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56125.57</v>
      </c>
      <c r="G461" s="42">
        <f>G452+G460</f>
        <v>31432.080000000002</v>
      </c>
      <c r="H461" s="42">
        <f>H452+H460</f>
        <v>0</v>
      </c>
      <c r="I461" s="42">
        <f>I452+I460</f>
        <v>87557.65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527387.15</v>
      </c>
      <c r="G465" s="18">
        <v>1573.4</v>
      </c>
      <c r="H465" s="18">
        <v>9506.01</v>
      </c>
      <c r="I465" s="18">
        <v>10610</v>
      </c>
      <c r="J465" s="18">
        <v>83819.740000000005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23035817.030000001</v>
      </c>
      <c r="G468" s="18">
        <v>479530.2</v>
      </c>
      <c r="H468" s="18">
        <v>243215.92</v>
      </c>
      <c r="I468" s="18"/>
      <c r="J468" s="18">
        <v>4456.8999999999996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23035817.030000001</v>
      </c>
      <c r="G470" s="53">
        <f>SUM(G468:G469)</f>
        <v>479530.2</v>
      </c>
      <c r="H470" s="53">
        <f>SUM(H468:H469)</f>
        <v>243215.92</v>
      </c>
      <c r="I470" s="53">
        <f>SUM(I468:I469)</f>
        <v>0</v>
      </c>
      <c r="J470" s="53">
        <f>SUM(J468:J469)</f>
        <v>4456.8999999999996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23201751.629999999</v>
      </c>
      <c r="G472" s="18">
        <v>502074.78</v>
      </c>
      <c r="H472" s="18">
        <v>259456.41</v>
      </c>
      <c r="I472" s="18"/>
      <c r="J472" s="18">
        <v>718.99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23201751.629999999</v>
      </c>
      <c r="G474" s="53">
        <f>SUM(G472:G473)</f>
        <v>502074.78</v>
      </c>
      <c r="H474" s="53">
        <f>SUM(H472:H473)</f>
        <v>259456.41</v>
      </c>
      <c r="I474" s="53">
        <f>SUM(I472:I473)</f>
        <v>0</v>
      </c>
      <c r="J474" s="53">
        <f>SUM(J472:J473)</f>
        <v>718.99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361452.55000000075</v>
      </c>
      <c r="G476" s="53">
        <f>(G465+G470)- G474</f>
        <v>-20971.179999999993</v>
      </c>
      <c r="H476" s="53">
        <f>(H465+H470)- H474</f>
        <v>-6734.4799999999814</v>
      </c>
      <c r="I476" s="53">
        <f>(I465+I470)- I474</f>
        <v>10610</v>
      </c>
      <c r="J476" s="53">
        <f>(J465+J470)- J474</f>
        <v>87557.65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4" t="s">
        <v>913</v>
      </c>
      <c r="I491" s="154" t="s">
        <v>914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911</v>
      </c>
      <c r="G492" s="155" t="s">
        <v>915</v>
      </c>
      <c r="H492" s="154" t="s">
        <v>913</v>
      </c>
      <c r="I492" s="154" t="s">
        <v>914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2532900</v>
      </c>
      <c r="G493" s="18">
        <v>4000000</v>
      </c>
      <c r="H493" s="18">
        <v>38460936</v>
      </c>
      <c r="I493" s="18">
        <v>1100000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4.08</v>
      </c>
      <c r="G494" s="18">
        <v>4.47</v>
      </c>
      <c r="H494" s="18">
        <v>4.62</v>
      </c>
      <c r="I494" s="18">
        <v>4.71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1535271</v>
      </c>
      <c r="G495" s="204">
        <v>1966793</v>
      </c>
      <c r="H495" s="204">
        <v>16180130</v>
      </c>
      <c r="I495" s="204">
        <v>495000</v>
      </c>
      <c r="J495" s="18"/>
      <c r="K495" s="53">
        <f>SUM(F495:J495)</f>
        <v>20177194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142841</v>
      </c>
      <c r="G497" s="18">
        <v>205715</v>
      </c>
      <c r="H497" s="18">
        <v>1843965</v>
      </c>
      <c r="I497" s="18">
        <v>55000</v>
      </c>
      <c r="J497" s="18"/>
      <c r="K497" s="53">
        <f t="shared" si="35"/>
        <v>2247521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1392430</v>
      </c>
      <c r="G498" s="204">
        <f t="shared" ref="G498:I498" si="36">G495-G497</f>
        <v>1761078</v>
      </c>
      <c r="H498" s="204">
        <f t="shared" si="36"/>
        <v>14336165</v>
      </c>
      <c r="I498" s="204">
        <f t="shared" si="36"/>
        <v>440000</v>
      </c>
      <c r="J498" s="204"/>
      <c r="K498" s="205">
        <f t="shared" si="35"/>
        <v>17929673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1106032</v>
      </c>
      <c r="G499" s="18">
        <v>1620591</v>
      </c>
      <c r="H499" s="18">
        <v>14860218</v>
      </c>
      <c r="I499" s="18">
        <v>87223</v>
      </c>
      <c r="J499" s="18"/>
      <c r="K499" s="53">
        <f t="shared" si="35"/>
        <v>17674064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2498462</v>
      </c>
      <c r="G500" s="42">
        <f>SUM(G498:G499)</f>
        <v>3381669</v>
      </c>
      <c r="H500" s="42">
        <f>SUM(H498:H499)</f>
        <v>29196383</v>
      </c>
      <c r="I500" s="42">
        <f>SUM(I498:I499)</f>
        <v>527223</v>
      </c>
      <c r="J500" s="42">
        <f>SUM(J498:J499)</f>
        <v>0</v>
      </c>
      <c r="K500" s="42">
        <f t="shared" si="35"/>
        <v>35603737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810745.56</v>
      </c>
      <c r="G521" s="18">
        <v>138094.01999999999</v>
      </c>
      <c r="H521" s="18">
        <v>0</v>
      </c>
      <c r="I521" s="18">
        <v>3106.2</v>
      </c>
      <c r="J521" s="18">
        <v>9187.9699999999993</v>
      </c>
      <c r="K521" s="18">
        <v>0</v>
      </c>
      <c r="L521" s="88">
        <f>SUM(F521:K521)</f>
        <v>961133.75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967920.44</v>
      </c>
      <c r="G523" s="18">
        <v>133756</v>
      </c>
      <c r="H523" s="18">
        <v>3936.1700000000019</v>
      </c>
      <c r="I523" s="18">
        <v>13729.79</v>
      </c>
      <c r="J523" s="18">
        <v>2969.85</v>
      </c>
      <c r="K523" s="18">
        <v>0</v>
      </c>
      <c r="L523" s="88">
        <f>SUM(F523:K523)</f>
        <v>1122312.25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1778666</v>
      </c>
      <c r="G524" s="108">
        <f t="shared" ref="G524:L524" si="37">SUM(G521:G523)</f>
        <v>271850.02</v>
      </c>
      <c r="H524" s="108">
        <f t="shared" si="37"/>
        <v>3936.1700000000019</v>
      </c>
      <c r="I524" s="108">
        <f t="shared" si="37"/>
        <v>16835.990000000002</v>
      </c>
      <c r="J524" s="108">
        <f t="shared" si="37"/>
        <v>12157.82</v>
      </c>
      <c r="K524" s="108">
        <f t="shared" si="37"/>
        <v>0</v>
      </c>
      <c r="L524" s="89">
        <f t="shared" si="37"/>
        <v>2083446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0</v>
      </c>
      <c r="G526" s="18">
        <v>0</v>
      </c>
      <c r="H526" s="18">
        <v>29385.78</v>
      </c>
      <c r="I526" s="18">
        <v>0</v>
      </c>
      <c r="J526" s="18">
        <v>0</v>
      </c>
      <c r="K526" s="18">
        <v>0</v>
      </c>
      <c r="L526" s="88">
        <f>SUM(F526:K526)</f>
        <v>29385.78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28285.94</v>
      </c>
      <c r="I528" s="18">
        <v>0</v>
      </c>
      <c r="J528" s="18">
        <v>0</v>
      </c>
      <c r="K528" s="18">
        <v>0</v>
      </c>
      <c r="L528" s="88">
        <f>SUM(F528:K528)</f>
        <v>28285.94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57671.72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57671.72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29485</v>
      </c>
      <c r="G531" s="18">
        <v>10096</v>
      </c>
      <c r="H531" s="18">
        <v>974</v>
      </c>
      <c r="I531" s="18">
        <v>0</v>
      </c>
      <c r="J531" s="18">
        <v>0</v>
      </c>
      <c r="K531" s="18">
        <v>0</v>
      </c>
      <c r="L531" s="88">
        <f>SUM(F531:K531)</f>
        <v>40555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56022</v>
      </c>
      <c r="G532" s="18">
        <v>20892</v>
      </c>
      <c r="H532" s="18">
        <v>1851</v>
      </c>
      <c r="I532" s="18">
        <v>0</v>
      </c>
      <c r="J532" s="18">
        <v>0</v>
      </c>
      <c r="K532" s="18">
        <v>0</v>
      </c>
      <c r="L532" s="88">
        <f>SUM(F532:K532)</f>
        <v>78765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85507</v>
      </c>
      <c r="G534" s="89">
        <f t="shared" ref="G534:L534" si="39">SUM(G531:G533)</f>
        <v>30988</v>
      </c>
      <c r="H534" s="89">
        <f t="shared" si="39"/>
        <v>2825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119320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2875.8</v>
      </c>
      <c r="I536" s="18">
        <v>0</v>
      </c>
      <c r="J536" s="18">
        <v>0</v>
      </c>
      <c r="K536" s="18">
        <v>0</v>
      </c>
      <c r="L536" s="88">
        <f>SUM(F536:K536)</f>
        <v>2875.8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5838.75</v>
      </c>
      <c r="I538" s="18">
        <v>0</v>
      </c>
      <c r="J538" s="18">
        <v>0</v>
      </c>
      <c r="K538" s="18">
        <v>0</v>
      </c>
      <c r="L538" s="88">
        <f>SUM(F538:K538)</f>
        <v>5838.75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8714.5499999999993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8714.5499999999993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2152.66</v>
      </c>
      <c r="I541" s="18">
        <v>0</v>
      </c>
      <c r="J541" s="18">
        <v>0</v>
      </c>
      <c r="K541" s="18">
        <v>0</v>
      </c>
      <c r="L541" s="88">
        <f>SUM(F541:K541)</f>
        <v>2152.66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62.5</v>
      </c>
      <c r="I543" s="18">
        <v>0</v>
      </c>
      <c r="J543" s="18">
        <v>0</v>
      </c>
      <c r="K543" s="18">
        <v>0</v>
      </c>
      <c r="L543" s="88">
        <f>SUM(F543:K543)</f>
        <v>62.5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2215.16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2215.16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1864173</v>
      </c>
      <c r="G545" s="89">
        <f t="shared" ref="G545:L545" si="42">G524+G529+G534+G539+G544</f>
        <v>302838.02</v>
      </c>
      <c r="H545" s="89">
        <f t="shared" si="42"/>
        <v>75362.600000000006</v>
      </c>
      <c r="I545" s="89">
        <f t="shared" si="42"/>
        <v>16835.990000000002</v>
      </c>
      <c r="J545" s="89">
        <f t="shared" si="42"/>
        <v>12157.82</v>
      </c>
      <c r="K545" s="89">
        <f t="shared" si="42"/>
        <v>0</v>
      </c>
      <c r="L545" s="89">
        <f t="shared" si="42"/>
        <v>2271367.4300000002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961133.75</v>
      </c>
      <c r="G549" s="87">
        <f>L526</f>
        <v>29385.78</v>
      </c>
      <c r="H549" s="87">
        <f>L531</f>
        <v>40555</v>
      </c>
      <c r="I549" s="87">
        <f>L536</f>
        <v>2875.8</v>
      </c>
      <c r="J549" s="87">
        <f>L541</f>
        <v>2152.66</v>
      </c>
      <c r="K549" s="87">
        <f>SUM(F549:J549)</f>
        <v>1036102.9900000001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78765</v>
      </c>
      <c r="I550" s="87">
        <f>L537</f>
        <v>0</v>
      </c>
      <c r="J550" s="87">
        <f>L542</f>
        <v>0</v>
      </c>
      <c r="K550" s="87">
        <f>SUM(F550:J550)</f>
        <v>78765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1122312.25</v>
      </c>
      <c r="G551" s="87">
        <f>L528</f>
        <v>28285.94</v>
      </c>
      <c r="H551" s="87">
        <f>L533</f>
        <v>0</v>
      </c>
      <c r="I551" s="87">
        <f>L538</f>
        <v>5838.75</v>
      </c>
      <c r="J551" s="87">
        <f>L543</f>
        <v>62.5</v>
      </c>
      <c r="K551" s="87">
        <f>SUM(F551:J551)</f>
        <v>1156499.44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2083446</v>
      </c>
      <c r="G552" s="89">
        <f t="shared" si="43"/>
        <v>57671.72</v>
      </c>
      <c r="H552" s="89">
        <f t="shared" si="43"/>
        <v>119320</v>
      </c>
      <c r="I552" s="89">
        <f t="shared" si="43"/>
        <v>8714.5499999999993</v>
      </c>
      <c r="J552" s="89">
        <f t="shared" si="43"/>
        <v>2215.16</v>
      </c>
      <c r="K552" s="89">
        <f t="shared" si="43"/>
        <v>2271367.4300000002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48463.09</v>
      </c>
      <c r="I585" s="87">
        <f t="shared" si="48"/>
        <v>48463.09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ref="K591:K597" si="49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2152.66</v>
      </c>
      <c r="I592" s="18">
        <v>0</v>
      </c>
      <c r="J592" s="18">
        <v>62.5</v>
      </c>
      <c r="K592" s="104">
        <f t="shared" si="49"/>
        <v>2215.16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20338.740000000002</v>
      </c>
      <c r="K593" s="104">
        <f t="shared" si="49"/>
        <v>20338.740000000002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133103.67999999999</v>
      </c>
      <c r="K594" s="104">
        <f t="shared" si="49"/>
        <v>133103.67999999999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2026.54</v>
      </c>
      <c r="I595" s="18">
        <v>0</v>
      </c>
      <c r="J595" s="18">
        <v>13669.68</v>
      </c>
      <c r="K595" s="104">
        <f t="shared" si="49"/>
        <v>15696.220000000001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5389.02</v>
      </c>
      <c r="I596" s="18">
        <v>0</v>
      </c>
      <c r="J596" s="18">
        <v>0</v>
      </c>
      <c r="K596" s="104">
        <f t="shared" si="49"/>
        <v>5389.02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9568.2200000000012</v>
      </c>
      <c r="I598" s="108">
        <f>SUM(I591:I597)</f>
        <v>0</v>
      </c>
      <c r="J598" s="108">
        <f>SUM(J591:J597)</f>
        <v>167174.59999999998</v>
      </c>
      <c r="K598" s="108">
        <f>SUM(K591:K597)</f>
        <v>176742.81999999998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161905.01+8123.9+3000</f>
        <v>173028.91</v>
      </c>
      <c r="I604" s="18">
        <v>0</v>
      </c>
      <c r="J604" s="18">
        <f>215018.93+2216+5482.81</f>
        <v>222717.74</v>
      </c>
      <c r="K604" s="104">
        <f>SUM(H604:J604)</f>
        <v>395746.65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173028.91</v>
      </c>
      <c r="I605" s="108">
        <f>SUM(I602:I604)</f>
        <v>0</v>
      </c>
      <c r="J605" s="108">
        <f>SUM(J602:J604)</f>
        <v>222717.74</v>
      </c>
      <c r="K605" s="108">
        <f>SUM(K602:K604)</f>
        <v>395746.65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8773.84</v>
      </c>
      <c r="G611" s="18">
        <v>2807.63</v>
      </c>
      <c r="H611" s="18">
        <v>4293</v>
      </c>
      <c r="I611" s="18">
        <v>0</v>
      </c>
      <c r="J611" s="18">
        <v>0</v>
      </c>
      <c r="K611" s="18">
        <v>0</v>
      </c>
      <c r="L611" s="88">
        <f>SUM(F611:K611)</f>
        <v>15874.470000000001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7534.65</v>
      </c>
      <c r="G613" s="18">
        <v>2411.09</v>
      </c>
      <c r="H613" s="18">
        <v>11334.7</v>
      </c>
      <c r="I613" s="18">
        <v>0</v>
      </c>
      <c r="J613" s="18">
        <v>0</v>
      </c>
      <c r="K613" s="18">
        <v>0</v>
      </c>
      <c r="L613" s="88">
        <f>SUM(F613:K613)</f>
        <v>21280.440000000002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16308.49</v>
      </c>
      <c r="G614" s="108">
        <f t="shared" si="50"/>
        <v>5218.72</v>
      </c>
      <c r="H614" s="108">
        <f t="shared" si="50"/>
        <v>15627.7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37154.910000000003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452607.04</v>
      </c>
      <c r="H617" s="109">
        <f>SUM(F52)</f>
        <v>452607.04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16638.95</v>
      </c>
      <c r="H618" s="109">
        <f>SUM(G52)</f>
        <v>16638.949999999997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83297.649999999994</v>
      </c>
      <c r="H619" s="109">
        <f>SUM(H52)</f>
        <v>83297.650000000009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10610</v>
      </c>
      <c r="H620" s="109">
        <f>SUM(I52)</f>
        <v>10610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87557.65</v>
      </c>
      <c r="H621" s="109">
        <f>SUM(J52)</f>
        <v>87557.65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361452.55</v>
      </c>
      <c r="H622" s="109">
        <f>F476</f>
        <v>361452.55000000075</v>
      </c>
      <c r="I622" s="121" t="s">
        <v>101</v>
      </c>
      <c r="J622" s="109">
        <f t="shared" ref="J622:J655" si="51">G622-H622</f>
        <v>-7.5669959187507629E-10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-20971.18</v>
      </c>
      <c r="H623" s="109">
        <f>G476</f>
        <v>-20971.179999999993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-6734.48</v>
      </c>
      <c r="H624" s="109">
        <f>H476</f>
        <v>-6734.4799999999814</v>
      </c>
      <c r="I624" s="121" t="s">
        <v>103</v>
      </c>
      <c r="J624" s="109">
        <f t="shared" si="51"/>
        <v>-1.8189894035458565E-11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10610</v>
      </c>
      <c r="H625" s="109">
        <f>I476</f>
        <v>10610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87557.65</v>
      </c>
      <c r="H626" s="109">
        <f>J476</f>
        <v>87557.65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23035817.030000001</v>
      </c>
      <c r="H627" s="104">
        <f>SUM(F468)</f>
        <v>23035817.030000001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479530.2</v>
      </c>
      <c r="H628" s="104">
        <f>SUM(G468)</f>
        <v>479530.2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243215.91999999998</v>
      </c>
      <c r="H629" s="104">
        <f>SUM(H468)</f>
        <v>243215.92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4456.8999999999996</v>
      </c>
      <c r="H631" s="104">
        <f>SUM(J468)</f>
        <v>4456.8999999999996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23201751.629999999</v>
      </c>
      <c r="H632" s="104">
        <f>SUM(F472)</f>
        <v>23201751.629999999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259456.40999999997</v>
      </c>
      <c r="H633" s="104">
        <f>SUM(H472)</f>
        <v>259456.41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147610.43</v>
      </c>
      <c r="H634" s="104">
        <f>I369</f>
        <v>147610.43000000002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502074.77999999997</v>
      </c>
      <c r="H635" s="104">
        <f>SUM(G472)</f>
        <v>502074.78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4456.8999999999996</v>
      </c>
      <c r="H637" s="164">
        <f>SUM(J468)</f>
        <v>4456.8999999999996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718.99</v>
      </c>
      <c r="H638" s="164">
        <f>SUM(J472)</f>
        <v>718.99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56125.57</v>
      </c>
      <c r="H639" s="104">
        <f>SUM(F461)</f>
        <v>56125.57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31432.080000000002</v>
      </c>
      <c r="H640" s="104">
        <f>SUM(G461)</f>
        <v>31432.080000000002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87557.65</v>
      </c>
      <c r="H642" s="104">
        <f>SUM(I461)</f>
        <v>87557.65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4456.8999999999996</v>
      </c>
      <c r="H644" s="104">
        <f>H408</f>
        <v>4456.8999999999996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4456.8999999999996</v>
      </c>
      <c r="H646" s="104">
        <f>L408</f>
        <v>4456.8999999999996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176742.81999999998</v>
      </c>
      <c r="H647" s="104">
        <f>L208+L226+L244</f>
        <v>176742.82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395746.65</v>
      </c>
      <c r="H648" s="104">
        <f>(J257+J338)-(J255+J336)</f>
        <v>395746.65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9568.2199999999993</v>
      </c>
      <c r="H649" s="104">
        <f>H598</f>
        <v>9568.2200000000012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167174.6</v>
      </c>
      <c r="H651" s="104">
        <f>J598</f>
        <v>167174.59999999998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30932.39</v>
      </c>
      <c r="H652" s="104">
        <f>K263+K345</f>
        <v>30932.39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7044347.7000000002</v>
      </c>
      <c r="G660" s="19">
        <f>(L229+L309+L359)</f>
        <v>0</v>
      </c>
      <c r="H660" s="19">
        <f>(L247+L328+L360)</f>
        <v>13357320.339999998</v>
      </c>
      <c r="I660" s="19">
        <f>SUM(F660:H660)</f>
        <v>20401668.039999999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234791.77913148273</v>
      </c>
      <c r="G661" s="19">
        <f>(L359/IF(SUM(L358:L360)=0,1,SUM(L358:L360))*(SUM(G97:G110)))</f>
        <v>0</v>
      </c>
      <c r="H661" s="19">
        <f>(L360/IF(SUM(L358:L360)=0,1,SUM(L358:L360))*(SUM(G97:G110)))</f>
        <v>213288.23086851725</v>
      </c>
      <c r="I661" s="19">
        <f>SUM(F661:H661)</f>
        <v>448080.01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9568.2199999999993</v>
      </c>
      <c r="G662" s="19">
        <f>(L226+L306)-(J226+J306)</f>
        <v>0</v>
      </c>
      <c r="H662" s="19">
        <f>(L244+L325)-(J244+J325)</f>
        <v>172215.94</v>
      </c>
      <c r="I662" s="19">
        <f>SUM(F662:H662)</f>
        <v>181784.16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188903.38</v>
      </c>
      <c r="G663" s="199">
        <f>SUM(G575:G587)+SUM(I602:I604)+L612</f>
        <v>0</v>
      </c>
      <c r="H663" s="199">
        <f>SUM(H575:H587)+SUM(J602:J604)+L613</f>
        <v>292461.26999999996</v>
      </c>
      <c r="I663" s="19">
        <f>SUM(F663:H663)</f>
        <v>481364.64999999997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6611084.3208685173</v>
      </c>
      <c r="G664" s="19">
        <f>G660-SUM(G661:G663)</f>
        <v>0</v>
      </c>
      <c r="H664" s="19">
        <f>H660-SUM(H661:H663)</f>
        <v>12679354.899131481</v>
      </c>
      <c r="I664" s="19">
        <f>I660-SUM(I661:I663)</f>
        <v>19290439.219999999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388.93</v>
      </c>
      <c r="G665" s="248"/>
      <c r="H665" s="248">
        <v>718.37</v>
      </c>
      <c r="I665" s="19">
        <f>SUM(F665:H665)</f>
        <v>1107.3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16998.13</v>
      </c>
      <c r="G667" s="19" t="e">
        <f>ROUND(G664/G665,2)</f>
        <v>#DIV/0!</v>
      </c>
      <c r="H667" s="19">
        <f>ROUND(H664/H665,2)</f>
        <v>17650.169999999998</v>
      </c>
      <c r="I667" s="19">
        <f>ROUND(I664/I665,2)</f>
        <v>17421.150000000001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-3.44</v>
      </c>
      <c r="I670" s="19">
        <f>SUM(F670:H670)</f>
        <v>-3.44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16998.13</v>
      </c>
      <c r="G672" s="19" t="e">
        <f>ROUND((G664+G669)/(G665+G670),2)</f>
        <v>#DIV/0!</v>
      </c>
      <c r="H672" s="19">
        <f>ROUND((H664+H669)/(H665+H670),2)</f>
        <v>17735.099999999999</v>
      </c>
      <c r="I672" s="19">
        <f>ROUND((I664+I669)/(I665+I670),2)</f>
        <v>17475.439999999999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Set="0"/>
  <pageMargins left="0.3" right="0.3" top="0.75" bottom="0.5" header="0.5" footer="0.5"/>
  <pageSetup scale="75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showGridLines="0" zoomScale="125" zoomScaleNormal="125" zoomScalePageLayoutView="125" workbookViewId="0">
      <selection activeCell="C31" sqref="C3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Dresden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6627757.1899999995</v>
      </c>
      <c r="C9" s="229">
        <f>'DOE25'!G197+'DOE25'!G215+'DOE25'!G233+'DOE25'!G276+'DOE25'!G295+'DOE25'!G314</f>
        <v>2264494.87</v>
      </c>
    </row>
    <row r="10" spans="1:3" x14ac:dyDescent="0.2">
      <c r="A10" t="s">
        <v>779</v>
      </c>
      <c r="B10" s="240">
        <v>6124682.5199999996</v>
      </c>
      <c r="C10" s="240">
        <f>B10/B13*C9</f>
        <v>2092610.1770663494</v>
      </c>
    </row>
    <row r="11" spans="1:3" x14ac:dyDescent="0.2">
      <c r="A11" t="s">
        <v>780</v>
      </c>
      <c r="B11" s="240">
        <v>366264.14</v>
      </c>
      <c r="C11" s="240">
        <f>B11/B13*C9</f>
        <v>125140.86474778685</v>
      </c>
    </row>
    <row r="12" spans="1:3" x14ac:dyDescent="0.2">
      <c r="A12" t="s">
        <v>781</v>
      </c>
      <c r="B12" s="240">
        <v>136810.53000000119</v>
      </c>
      <c r="C12" s="240">
        <f>B12/B13*C9</f>
        <v>46743.828185863851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6627757.1900000004</v>
      </c>
      <c r="C13" s="231">
        <f>SUM(C10:C12)</f>
        <v>2264494.87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1778666</v>
      </c>
      <c r="C18" s="229">
        <f>'DOE25'!G198+'DOE25'!G216+'DOE25'!G234+'DOE25'!G277+'DOE25'!G296+'DOE25'!G315</f>
        <v>849531.30999999994</v>
      </c>
    </row>
    <row r="19" spans="1:3" x14ac:dyDescent="0.2">
      <c r="A19" t="s">
        <v>779</v>
      </c>
      <c r="B19" s="240">
        <v>1124852.8999999999</v>
      </c>
      <c r="C19" s="240">
        <f>B19/$B$22*$C$18</f>
        <v>537255.31251752656</v>
      </c>
    </row>
    <row r="20" spans="1:3" x14ac:dyDescent="0.2">
      <c r="A20" t="s">
        <v>780</v>
      </c>
      <c r="B20" s="240">
        <v>640006.35</v>
      </c>
      <c r="C20" s="240">
        <f t="shared" ref="C20:C21" si="0">B20/$B$22*$C$18</f>
        <v>305681.57986031013</v>
      </c>
    </row>
    <row r="21" spans="1:3" x14ac:dyDescent="0.2">
      <c r="A21" t="s">
        <v>781</v>
      </c>
      <c r="B21" s="240">
        <v>13806.75</v>
      </c>
      <c r="C21" s="240">
        <f t="shared" si="0"/>
        <v>6594.4176221631824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1778666</v>
      </c>
      <c r="C22" s="231">
        <f>SUM(C19:C21)</f>
        <v>849531.30999999982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437195.33999999997</v>
      </c>
      <c r="C36" s="235">
        <f>'DOE25'!G200+'DOE25'!G218+'DOE25'!G236+'DOE25'!G279+'DOE25'!G298+'DOE25'!G317</f>
        <v>108422.25</v>
      </c>
    </row>
    <row r="37" spans="1:3" x14ac:dyDescent="0.2">
      <c r="A37" t="s">
        <v>779</v>
      </c>
      <c r="B37" s="240">
        <v>227580.12</v>
      </c>
      <c r="C37" s="240">
        <f>B37/B40*C36</f>
        <v>56438.727516331703</v>
      </c>
    </row>
    <row r="38" spans="1:3" x14ac:dyDescent="0.2">
      <c r="A38" t="s">
        <v>780</v>
      </c>
      <c r="B38" s="240">
        <v>44862.559999999998</v>
      </c>
      <c r="C38" s="240">
        <f>B38/B40*C36</f>
        <v>11125.689711056846</v>
      </c>
    </row>
    <row r="39" spans="1:3" x14ac:dyDescent="0.2">
      <c r="A39" t="s">
        <v>781</v>
      </c>
      <c r="B39" s="240">
        <v>164752.66000000003</v>
      </c>
      <c r="C39" s="240">
        <f>B39/B40*C36</f>
        <v>40857.832772611444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437195.34</v>
      </c>
      <c r="C40" s="231">
        <f>SUM(C37:C39)</f>
        <v>108422.25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25" zoomScaleNormal="125" zoomScalePageLayoutView="125"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Dresden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12859099.07</v>
      </c>
      <c r="D5" s="20">
        <f>SUM('DOE25'!L197:L200)+SUM('DOE25'!L215:L218)+SUM('DOE25'!L233:L236)-F5-G5</f>
        <v>12503338.610000001</v>
      </c>
      <c r="E5" s="243"/>
      <c r="F5" s="255">
        <f>SUM('DOE25'!J197:J200)+SUM('DOE25'!J215:J218)+SUM('DOE25'!J233:J236)</f>
        <v>348912.01</v>
      </c>
      <c r="G5" s="53">
        <f>SUM('DOE25'!K197:K200)+SUM('DOE25'!K215:K218)+SUM('DOE25'!K233:K236)</f>
        <v>6848.4499999999989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1222759.7799999998</v>
      </c>
      <c r="D6" s="20">
        <f>'DOE25'!L202+'DOE25'!L220+'DOE25'!L238-F6-G6</f>
        <v>1222444.7799999998</v>
      </c>
      <c r="E6" s="243"/>
      <c r="F6" s="255">
        <f>'DOE25'!J202+'DOE25'!J220+'DOE25'!J238</f>
        <v>0</v>
      </c>
      <c r="G6" s="53">
        <f>'DOE25'!K202+'DOE25'!K220+'DOE25'!K238</f>
        <v>315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637710.12</v>
      </c>
      <c r="D7" s="20">
        <f>'DOE25'!L203+'DOE25'!L221+'DOE25'!L239-F7-G7</f>
        <v>608946.07999999996</v>
      </c>
      <c r="E7" s="243"/>
      <c r="F7" s="255">
        <f>'DOE25'!J203+'DOE25'!J221+'DOE25'!J239</f>
        <v>28078.039999999997</v>
      </c>
      <c r="G7" s="53">
        <f>'DOE25'!K203+'DOE25'!K221+'DOE25'!K239</f>
        <v>686</v>
      </c>
      <c r="H7" s="259"/>
    </row>
    <row r="8" spans="1:9" x14ac:dyDescent="0.2">
      <c r="A8" s="32">
        <v>2300</v>
      </c>
      <c r="B8" t="s">
        <v>802</v>
      </c>
      <c r="C8" s="245">
        <f t="shared" si="0"/>
        <v>685315</v>
      </c>
      <c r="D8" s="243"/>
      <c r="E8" s="20">
        <f>'DOE25'!L204+'DOE25'!L222+'DOE25'!L240-F8-G8-D9-D11</f>
        <v>676755.58</v>
      </c>
      <c r="F8" s="255">
        <f>'DOE25'!J204+'DOE25'!J222+'DOE25'!J240</f>
        <v>0</v>
      </c>
      <c r="G8" s="53">
        <f>'DOE25'!K204+'DOE25'!K222+'DOE25'!K240</f>
        <v>8559.42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7338.63</v>
      </c>
      <c r="D9" s="244">
        <v>7338.63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13000</v>
      </c>
      <c r="D10" s="243"/>
      <c r="E10" s="244">
        <v>13000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175655</v>
      </c>
      <c r="D11" s="244">
        <v>175655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2029570.27</v>
      </c>
      <c r="D12" s="20">
        <f>'DOE25'!L205+'DOE25'!L223+'DOE25'!L241-F12-G12</f>
        <v>2023847.86</v>
      </c>
      <c r="E12" s="243"/>
      <c r="F12" s="255">
        <f>'DOE25'!J205+'DOE25'!J223+'DOE25'!J241</f>
        <v>123.41</v>
      </c>
      <c r="G12" s="53">
        <f>'DOE25'!K205+'DOE25'!K223+'DOE25'!K241</f>
        <v>5599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1845946.1600000001</v>
      </c>
      <c r="D14" s="20">
        <f>'DOE25'!L207+'DOE25'!L225+'DOE25'!L243-F14-G14</f>
        <v>1877652.87</v>
      </c>
      <c r="E14" s="243"/>
      <c r="F14" s="255">
        <f>'DOE25'!J207+'DOE25'!J225+'DOE25'!J243</f>
        <v>8293.2900000000009</v>
      </c>
      <c r="G14" s="53">
        <f>'DOE25'!K207+'DOE25'!K225+'DOE25'!K243</f>
        <v>-40000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176742.82</v>
      </c>
      <c r="D15" s="20">
        <f>'DOE25'!L208+'DOE25'!L226+'DOE25'!L244-F15-G15</f>
        <v>176742.82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60273.11</v>
      </c>
      <c r="D22" s="243"/>
      <c r="E22" s="243"/>
      <c r="F22" s="255">
        <f>'DOE25'!L255+'DOE25'!L336</f>
        <v>60273.11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3470409.2800000003</v>
      </c>
      <c r="D25" s="243"/>
      <c r="E25" s="243"/>
      <c r="F25" s="258"/>
      <c r="G25" s="256"/>
      <c r="H25" s="257">
        <f>'DOE25'!L260+'DOE25'!L261+'DOE25'!L341+'DOE25'!L342</f>
        <v>3470409.2800000003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362674.01999999996</v>
      </c>
      <c r="D29" s="20">
        <f>'DOE25'!L358+'DOE25'!L359+'DOE25'!L360-'DOE25'!I367-F29-G29</f>
        <v>362032.01999999996</v>
      </c>
      <c r="E29" s="243"/>
      <c r="F29" s="255">
        <f>'DOE25'!J358+'DOE25'!J359+'DOE25'!J360</f>
        <v>642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259456.40999999997</v>
      </c>
      <c r="D31" s="20">
        <f>'DOE25'!L290+'DOE25'!L309+'DOE25'!L328+'DOE25'!L333+'DOE25'!L334+'DOE25'!L335-F31-G31</f>
        <v>249091.50999999998</v>
      </c>
      <c r="E31" s="243"/>
      <c r="F31" s="255">
        <f>'DOE25'!J290+'DOE25'!J309+'DOE25'!J328+'DOE25'!J333+'DOE25'!J334+'DOE25'!J335</f>
        <v>10339.9</v>
      </c>
      <c r="G31" s="53">
        <f>'DOE25'!K290+'DOE25'!K309+'DOE25'!K328+'DOE25'!K333+'DOE25'!K334+'DOE25'!K335</f>
        <v>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19207090.180000003</v>
      </c>
      <c r="E33" s="246">
        <f>SUM(E5:E31)</f>
        <v>689755.58</v>
      </c>
      <c r="F33" s="246">
        <f>SUM(F5:F31)</f>
        <v>456661.75999999995</v>
      </c>
      <c r="G33" s="246">
        <f>SUM(G5:G31)</f>
        <v>-17967.13</v>
      </c>
      <c r="H33" s="246">
        <f>SUM(H5:H31)</f>
        <v>3470409.2800000003</v>
      </c>
    </row>
    <row r="35" spans="2:8" ht="12" thickBot="1" x14ac:dyDescent="0.25">
      <c r="B35" s="253" t="s">
        <v>847</v>
      </c>
      <c r="D35" s="254">
        <f>E33</f>
        <v>689755.58</v>
      </c>
      <c r="E35" s="249"/>
    </row>
    <row r="36" spans="2:8" ht="12" thickTop="1" x14ac:dyDescent="0.2">
      <c r="B36" t="s">
        <v>815</v>
      </c>
      <c r="D36" s="20">
        <f>D33</f>
        <v>19207090.180000003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25" zoomScaleNormal="125" zoomScalePageLayoutView="125" workbookViewId="0">
      <pane ySplit="2" topLeftCell="A109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259113.15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84433.65</v>
      </c>
      <c r="F12" s="95">
        <f>'DOE25'!I13</f>
        <v>10610</v>
      </c>
      <c r="G12" s="95">
        <f>'DOE25'!J13</f>
        <v>87557.65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186915.52</v>
      </c>
      <c r="D13" s="95">
        <f>'DOE25'!G14</f>
        <v>16638.95</v>
      </c>
      <c r="E13" s="95">
        <f>'DOE25'!H14</f>
        <v>-1136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6578.37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452607.04</v>
      </c>
      <c r="D18" s="41">
        <f>SUM(D8:D17)</f>
        <v>16638.95</v>
      </c>
      <c r="E18" s="41">
        <f>SUM(E8:E17)</f>
        <v>83297.649999999994</v>
      </c>
      <c r="F18" s="41">
        <f>SUM(F8:F17)</f>
        <v>10610</v>
      </c>
      <c r="G18" s="41">
        <f>SUM(G8:G17)</f>
        <v>87557.65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-63780.89</v>
      </c>
      <c r="D21" s="95">
        <f>'DOE25'!G22</f>
        <v>29320.21</v>
      </c>
      <c r="E21" s="95">
        <f>'DOE25'!H22</f>
        <v>88982.35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76127.789999999994</v>
      </c>
      <c r="D23" s="95">
        <f>'DOE25'!G24</f>
        <v>284.97000000000003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-260.13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-552.27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8004.95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79619.990000000005</v>
      </c>
      <c r="D30" s="95">
        <f>'DOE25'!G31</f>
        <v>0</v>
      </c>
      <c r="E30" s="95">
        <f>'DOE25'!H31</f>
        <v>1049.78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91154.49</v>
      </c>
      <c r="D31" s="41">
        <f>SUM(D21:D30)</f>
        <v>37610.129999999997</v>
      </c>
      <c r="E31" s="41">
        <f>SUM(E21:E30)</f>
        <v>90032.13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-6734.48</v>
      </c>
      <c r="F47" s="95">
        <f>'DOE25'!I48</f>
        <v>0</v>
      </c>
      <c r="G47" s="95">
        <f>'DOE25'!J48</f>
        <v>87557.65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-20971.18</v>
      </c>
      <c r="E48" s="95">
        <f>'DOE25'!H49</f>
        <v>0</v>
      </c>
      <c r="F48" s="95">
        <f>'DOE25'!I49</f>
        <v>10610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361452.55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361452.55</v>
      </c>
      <c r="D50" s="41">
        <f>SUM(D34:D49)</f>
        <v>-20971.18</v>
      </c>
      <c r="E50" s="41">
        <f>SUM(E34:E49)</f>
        <v>-6734.48</v>
      </c>
      <c r="F50" s="41">
        <f>SUM(F34:F49)</f>
        <v>10610</v>
      </c>
      <c r="G50" s="41">
        <f>SUM(G34:G49)</f>
        <v>87557.65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452607.04</v>
      </c>
      <c r="D51" s="41">
        <f>D50+D31</f>
        <v>16638.949999999997</v>
      </c>
      <c r="E51" s="41">
        <f>E50+E31</f>
        <v>83297.650000000009</v>
      </c>
      <c r="F51" s="41">
        <f>F50+F31</f>
        <v>10610</v>
      </c>
      <c r="G51" s="41">
        <f>G50+G31</f>
        <v>87557.65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15817333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3693221.1100000003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713.25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4456.8999999999996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438253.33999999997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290740.71000000002</v>
      </c>
      <c r="D61" s="95">
        <f>SUM('DOE25'!G98:G110)</f>
        <v>9826.67</v>
      </c>
      <c r="E61" s="95">
        <f>SUM('DOE25'!H98:H110)</f>
        <v>16361.22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3984675.0700000003</v>
      </c>
      <c r="D62" s="130">
        <f>SUM(D57:D61)</f>
        <v>448080.00999999995</v>
      </c>
      <c r="E62" s="130">
        <f>SUM(E57:E61)</f>
        <v>16361.22</v>
      </c>
      <c r="F62" s="130">
        <f>SUM(F57:F61)</f>
        <v>0</v>
      </c>
      <c r="G62" s="130">
        <f>SUM(G57:G61)</f>
        <v>4456.8999999999996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19802008.07</v>
      </c>
      <c r="D63" s="22">
        <f>D56+D62</f>
        <v>448080.00999999995</v>
      </c>
      <c r="E63" s="22">
        <f>E56+E62</f>
        <v>16361.22</v>
      </c>
      <c r="F63" s="22">
        <f>F56+F62</f>
        <v>0</v>
      </c>
      <c r="G63" s="22">
        <f>G56+G62</f>
        <v>4456.8999999999996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2599351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2599351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601215.37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33242.589999999997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634457.96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3233808.96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517.79999999999995</v>
      </c>
      <c r="E88" s="95">
        <f>SUM('DOE25'!H153:H161)</f>
        <v>226854.69999999998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517.79999999999995</v>
      </c>
      <c r="E91" s="131">
        <f>SUM(E85:E90)</f>
        <v>226854.69999999998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30932.39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30932.39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23035817.030000001</v>
      </c>
      <c r="D104" s="86">
        <f>D63+D81+D91+D103</f>
        <v>479530.19999999995</v>
      </c>
      <c r="E104" s="86">
        <f>E63+E81+E91+E103</f>
        <v>243215.91999999998</v>
      </c>
      <c r="F104" s="86">
        <f>F63+F81+F91+F103</f>
        <v>0</v>
      </c>
      <c r="G104" s="86">
        <f>G63+G81+G103</f>
        <v>4456.8999999999996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9516668.8499999978</v>
      </c>
      <c r="D109" s="24" t="s">
        <v>289</v>
      </c>
      <c r="E109" s="95">
        <f>('DOE25'!L276)+('DOE25'!L295)+('DOE25'!L314)</f>
        <v>31476.989999999998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2523421.3000000003</v>
      </c>
      <c r="D110" s="24" t="s">
        <v>289</v>
      </c>
      <c r="E110" s="95">
        <f>('DOE25'!L277)+('DOE25'!L296)+('DOE25'!L315)</f>
        <v>195377.71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48463.09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770545.83</v>
      </c>
      <c r="D112" s="24" t="s">
        <v>289</v>
      </c>
      <c r="E112" s="95">
        <f>+('DOE25'!L279)+('DOE25'!L298)+('DOE25'!L317)</f>
        <v>27560.37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12859099.069999998</v>
      </c>
      <c r="D115" s="86">
        <f>SUM(D109:D114)</f>
        <v>0</v>
      </c>
      <c r="E115" s="86">
        <f>SUM(E109:E114)</f>
        <v>254415.06999999998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1222759.7799999998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637710.12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868308.63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2029570.27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1845946.1600000001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176742.82</v>
      </c>
      <c r="D124" s="24" t="s">
        <v>289</v>
      </c>
      <c r="E124" s="95">
        <f>+('DOE25'!L287)+('DOE25'!L306)+('DOE25'!L325)</f>
        <v>5041.34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502074.77999999997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6781037.7800000003</v>
      </c>
      <c r="D128" s="86">
        <f>SUM(D118:D127)</f>
        <v>502074.77999999997</v>
      </c>
      <c r="E128" s="86">
        <f>SUM(E118:E127)</f>
        <v>5041.34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60273.11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2247520.2400000002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1222889.04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30932.39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4456.8999999999996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-4456.8999999999996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3561614.7800000003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23201751.629999999</v>
      </c>
      <c r="D145" s="86">
        <f>(D115+D128+D144)</f>
        <v>502074.77999999997</v>
      </c>
      <c r="E145" s="86">
        <f>(E115+E128+E144)</f>
        <v>259456.40999999997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1/15/07</v>
      </c>
      <c r="C152" s="152" t="str">
        <f>'DOE25'!G491</f>
        <v>12/22/04</v>
      </c>
      <c r="D152" s="152" t="str">
        <f>'DOE25'!H491</f>
        <v>8/15/03</v>
      </c>
      <c r="E152" s="152" t="str">
        <f>'DOE25'!I491</f>
        <v>8/15/01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1/15/07</v>
      </c>
      <c r="C153" s="152" t="str">
        <f>'DOE25'!G492</f>
        <v>1/15/25</v>
      </c>
      <c r="D153" s="152" t="str">
        <f>'DOE25'!H492</f>
        <v>8/15/03</v>
      </c>
      <c r="E153" s="152" t="str">
        <f>'DOE25'!I492</f>
        <v>8/15/01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2532900</v>
      </c>
      <c r="C154" s="137">
        <f>'DOE25'!G493</f>
        <v>4000000</v>
      </c>
      <c r="D154" s="137">
        <f>'DOE25'!H493</f>
        <v>38460936</v>
      </c>
      <c r="E154" s="137">
        <f>'DOE25'!I493</f>
        <v>1100000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4.47</v>
      </c>
      <c r="D155" s="137">
        <f>'DOE25'!H494</f>
        <v>4.62</v>
      </c>
      <c r="E155" s="137">
        <f>'DOE25'!I494</f>
        <v>4.71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1535271</v>
      </c>
      <c r="C156" s="137">
        <f>'DOE25'!G495</f>
        <v>1966793</v>
      </c>
      <c r="D156" s="137">
        <f>'DOE25'!H495</f>
        <v>16180130</v>
      </c>
      <c r="E156" s="137">
        <f>'DOE25'!I495</f>
        <v>495000</v>
      </c>
      <c r="F156" s="137">
        <f>'DOE25'!J495</f>
        <v>0</v>
      </c>
      <c r="G156" s="138">
        <f>SUM(B156:F156)</f>
        <v>20177194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142841</v>
      </c>
      <c r="C158" s="137">
        <f>'DOE25'!G497</f>
        <v>205715</v>
      </c>
      <c r="D158" s="137">
        <f>'DOE25'!H497</f>
        <v>1843965</v>
      </c>
      <c r="E158" s="137">
        <f>'DOE25'!I497</f>
        <v>55000</v>
      </c>
      <c r="F158" s="137">
        <f>'DOE25'!J497</f>
        <v>0</v>
      </c>
      <c r="G158" s="138">
        <f t="shared" si="0"/>
        <v>2247521</v>
      </c>
    </row>
    <row r="159" spans="1:9" x14ac:dyDescent="0.2">
      <c r="A159" s="22" t="s">
        <v>35</v>
      </c>
      <c r="B159" s="137">
        <f>'DOE25'!F498</f>
        <v>1392430</v>
      </c>
      <c r="C159" s="137">
        <f>'DOE25'!G498</f>
        <v>1761078</v>
      </c>
      <c r="D159" s="137">
        <f>'DOE25'!H498</f>
        <v>14336165</v>
      </c>
      <c r="E159" s="137">
        <f>'DOE25'!I498</f>
        <v>440000</v>
      </c>
      <c r="F159" s="137">
        <f>'DOE25'!J498</f>
        <v>0</v>
      </c>
      <c r="G159" s="138">
        <f t="shared" si="0"/>
        <v>17929673</v>
      </c>
    </row>
    <row r="160" spans="1:9" x14ac:dyDescent="0.2">
      <c r="A160" s="22" t="s">
        <v>36</v>
      </c>
      <c r="B160" s="137">
        <f>'DOE25'!F499</f>
        <v>1106032</v>
      </c>
      <c r="C160" s="137">
        <f>'DOE25'!G499</f>
        <v>1620591</v>
      </c>
      <c r="D160" s="137">
        <f>'DOE25'!H499</f>
        <v>14860218</v>
      </c>
      <c r="E160" s="137">
        <f>'DOE25'!I499</f>
        <v>87223</v>
      </c>
      <c r="F160" s="137">
        <f>'DOE25'!J499</f>
        <v>0</v>
      </c>
      <c r="G160" s="138">
        <f t="shared" si="0"/>
        <v>17674064</v>
      </c>
    </row>
    <row r="161" spans="1:7" x14ac:dyDescent="0.2">
      <c r="A161" s="22" t="s">
        <v>37</v>
      </c>
      <c r="B161" s="137">
        <f>'DOE25'!F500</f>
        <v>2498462</v>
      </c>
      <c r="C161" s="137">
        <f>'DOE25'!G500</f>
        <v>3381669</v>
      </c>
      <c r="D161" s="137">
        <f>'DOE25'!H500</f>
        <v>29196383</v>
      </c>
      <c r="E161" s="137">
        <f>'DOE25'!I500</f>
        <v>527223</v>
      </c>
      <c r="F161" s="137">
        <f>'DOE25'!J500</f>
        <v>0</v>
      </c>
      <c r="G161" s="138">
        <f t="shared" si="0"/>
        <v>35603737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horizontalCentered="1" gridLines="1" gridLinesSet="0"/>
  <pageMargins left="0.75" right="0.75" top="1" bottom="1" header="0.5" footer="0.5"/>
  <pageSetup scale="80" orientation="landscape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zoomScale="125" zoomScaleNormal="125" zoomScalePageLayoutView="125"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Dresden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16998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17735</v>
      </c>
    </row>
    <row r="7" spans="1:4" x14ac:dyDescent="0.2">
      <c r="B7" t="s">
        <v>705</v>
      </c>
      <c r="C7" s="179">
        <f>IF('DOE25'!I665+'DOE25'!I670=0,0,ROUND('DOE25'!I672,0))</f>
        <v>17475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9548146</v>
      </c>
      <c r="D10" s="182">
        <f>ROUND((C10/$C$28)*100,1)</f>
        <v>45.1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2718799</v>
      </c>
      <c r="D11" s="182">
        <f>ROUND((C11/$C$28)*100,1)</f>
        <v>12.8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48463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798106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1222760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637710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868309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2029570</v>
      </c>
      <c r="D18" s="182">
        <f t="shared" si="0"/>
        <v>9.6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1845946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181784</v>
      </c>
      <c r="D21" s="182">
        <f t="shared" si="0"/>
        <v>0.9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1222889</v>
      </c>
      <c r="D25" s="182">
        <f t="shared" si="0"/>
        <v>5.8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53994.989999999991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21176476.989999998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60273</v>
      </c>
    </row>
    <row r="30" spans="1:4" x14ac:dyDescent="0.2">
      <c r="B30" s="187" t="s">
        <v>729</v>
      </c>
      <c r="C30" s="180">
        <f>SUM(C28:C29)</f>
        <v>21236749.989999998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2247520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15817333</v>
      </c>
      <c r="D35" s="182">
        <f t="shared" ref="D35:D40" si="1">ROUND((C35/$C$41)*100,1)</f>
        <v>67.900000000000006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4005493.1899999976</v>
      </c>
      <c r="D36" s="182">
        <f t="shared" si="1"/>
        <v>17.2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2599351</v>
      </c>
      <c r="D37" s="182">
        <f t="shared" si="1"/>
        <v>11.2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634458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227373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23284008.189999998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Dresden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2014-09-03T18:50:52Z</cp:lastPrinted>
  <dcterms:created xsi:type="dcterms:W3CDTF">1997-12-04T19:04:30Z</dcterms:created>
  <dcterms:modified xsi:type="dcterms:W3CDTF">2014-12-05T16:01:18Z</dcterms:modified>
</cp:coreProperties>
</file>