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-15" yWindow="-15" windowWidth="15135" windowHeight="12105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E10" i="13" l="1"/>
  <c r="H197" i="1" l="1"/>
  <c r="H527" i="1" l="1"/>
  <c r="H526" i="1"/>
  <c r="H202" i="1" l="1"/>
  <c r="I244" i="1"/>
  <c r="H244" i="1"/>
  <c r="I226" i="1"/>
  <c r="H226" i="1"/>
  <c r="I208" i="1"/>
  <c r="H208" i="1"/>
  <c r="K240" i="1"/>
  <c r="H240" i="1"/>
  <c r="G240" i="1"/>
  <c r="F240" i="1"/>
  <c r="K222" i="1"/>
  <c r="H222" i="1"/>
  <c r="G222" i="1"/>
  <c r="F222" i="1"/>
  <c r="K204" i="1"/>
  <c r="H204" i="1"/>
  <c r="G204" i="1"/>
  <c r="F20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29" i="1" s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J649" i="1" s="1"/>
  <c r="L226" i="1"/>
  <c r="L244" i="1"/>
  <c r="H647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309" i="1"/>
  <c r="J328" i="1"/>
  <c r="K290" i="1"/>
  <c r="K309" i="1"/>
  <c r="K328" i="1"/>
  <c r="L276" i="1"/>
  <c r="L277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3" i="10"/>
  <c r="C16" i="10"/>
  <c r="C18" i="10"/>
  <c r="C19" i="10"/>
  <c r="C20" i="10"/>
  <c r="L250" i="1"/>
  <c r="L332" i="1"/>
  <c r="L254" i="1"/>
  <c r="C25" i="10"/>
  <c r="L268" i="1"/>
  <c r="L269" i="1"/>
  <c r="L349" i="1"/>
  <c r="L350" i="1"/>
  <c r="E143" i="2" s="1"/>
  <c r="I665" i="1"/>
  <c r="I670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C18" i="2" s="1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C63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C112" i="2"/>
  <c r="E112" i="2"/>
  <c r="C113" i="2"/>
  <c r="E113" i="2"/>
  <c r="C114" i="2"/>
  <c r="E114" i="2"/>
  <c r="D115" i="2"/>
  <c r="F115" i="2"/>
  <c r="G115" i="2"/>
  <c r="E118" i="2"/>
  <c r="E128" i="2" s="1"/>
  <c r="C119" i="2"/>
  <c r="E119" i="2"/>
  <c r="E120" i="2"/>
  <c r="C121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G257" i="1" s="1"/>
  <c r="G271" i="1" s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H338" i="1" s="1"/>
  <c r="H352" i="1" s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F461" i="1"/>
  <c r="G461" i="1"/>
  <c r="H461" i="1"/>
  <c r="F470" i="1"/>
  <c r="F476" i="1" s="1"/>
  <c r="H622" i="1" s="1"/>
  <c r="G470" i="1"/>
  <c r="H470" i="1"/>
  <c r="H476" i="1" s="1"/>
  <c r="H624" i="1" s="1"/>
  <c r="J624" i="1" s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H640" i="1"/>
  <c r="G641" i="1"/>
  <c r="H641" i="1"/>
  <c r="G643" i="1"/>
  <c r="H643" i="1"/>
  <c r="G644" i="1"/>
  <c r="G645" i="1"/>
  <c r="H645" i="1"/>
  <c r="G650" i="1"/>
  <c r="G652" i="1"/>
  <c r="H652" i="1"/>
  <c r="G653" i="1"/>
  <c r="H653" i="1"/>
  <c r="G654" i="1"/>
  <c r="H654" i="1"/>
  <c r="H655" i="1"/>
  <c r="F192" i="1"/>
  <c r="L256" i="1"/>
  <c r="G164" i="2"/>
  <c r="L328" i="1"/>
  <c r="A31" i="12"/>
  <c r="C70" i="2"/>
  <c r="A40" i="1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34" i="1"/>
  <c r="H571" i="1"/>
  <c r="L560" i="1"/>
  <c r="J545" i="1"/>
  <c r="F338" i="1"/>
  <c r="F352" i="1" s="1"/>
  <c r="G192" i="1"/>
  <c r="H192" i="1"/>
  <c r="F552" i="1"/>
  <c r="C35" i="10"/>
  <c r="L309" i="1"/>
  <c r="E16" i="13"/>
  <c r="J655" i="1"/>
  <c r="J645" i="1"/>
  <c r="L570" i="1"/>
  <c r="I571" i="1"/>
  <c r="I545" i="1"/>
  <c r="J636" i="1"/>
  <c r="G36" i="2"/>
  <c r="L565" i="1"/>
  <c r="G545" i="1"/>
  <c r="K551" i="1"/>
  <c r="C22" i="13"/>
  <c r="C138" i="2"/>
  <c r="C16" i="13"/>
  <c r="H33" i="13"/>
  <c r="K552" i="1" l="1"/>
  <c r="L534" i="1"/>
  <c r="L545" i="1" s="1"/>
  <c r="J476" i="1"/>
  <c r="H626" i="1" s="1"/>
  <c r="J644" i="1"/>
  <c r="I460" i="1"/>
  <c r="I461" i="1" s="1"/>
  <c r="H642" i="1" s="1"/>
  <c r="I446" i="1"/>
  <c r="G642" i="1" s="1"/>
  <c r="J642" i="1" s="1"/>
  <c r="J640" i="1"/>
  <c r="L351" i="1"/>
  <c r="C26" i="10"/>
  <c r="C15" i="10"/>
  <c r="C109" i="2"/>
  <c r="C115" i="2" s="1"/>
  <c r="D5" i="13"/>
  <c r="C5" i="13" s="1"/>
  <c r="L247" i="1"/>
  <c r="H660" i="1" s="1"/>
  <c r="H664" i="1" s="1"/>
  <c r="G651" i="1"/>
  <c r="J651" i="1" s="1"/>
  <c r="I257" i="1"/>
  <c r="I271" i="1" s="1"/>
  <c r="F662" i="1"/>
  <c r="I662" i="1" s="1"/>
  <c r="J647" i="1"/>
  <c r="C124" i="2"/>
  <c r="C21" i="10"/>
  <c r="D15" i="13"/>
  <c r="C15" i="13" s="1"/>
  <c r="F257" i="1"/>
  <c r="F271" i="1" s="1"/>
  <c r="C17" i="10"/>
  <c r="H257" i="1"/>
  <c r="H271" i="1" s="1"/>
  <c r="K257" i="1"/>
  <c r="K271" i="1" s="1"/>
  <c r="C120" i="2"/>
  <c r="E8" i="13"/>
  <c r="C8" i="13" s="1"/>
  <c r="C118" i="2"/>
  <c r="L211" i="1"/>
  <c r="C10" i="10"/>
  <c r="C81" i="2"/>
  <c r="C104" i="2" s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C27" i="10"/>
  <c r="G635" i="1"/>
  <c r="J635" i="1" s="1"/>
  <c r="H646" i="1" l="1"/>
  <c r="J646" i="1" s="1"/>
  <c r="H672" i="1"/>
  <c r="C6" i="10" s="1"/>
  <c r="H667" i="1"/>
  <c r="G672" i="1"/>
  <c r="C5" i="10" s="1"/>
  <c r="E33" i="13"/>
  <c r="D35" i="13" s="1"/>
  <c r="C128" i="2"/>
  <c r="C145" i="2" s="1"/>
  <c r="L257" i="1"/>
  <c r="L271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2" i="1" l="1"/>
  <c r="J632" i="1" s="1"/>
  <c r="C41" i="10"/>
  <c r="D38" i="10" s="1"/>
  <c r="J290" i="1" l="1"/>
  <c r="L278" i="1"/>
  <c r="D37" i="10"/>
  <c r="D36" i="10"/>
  <c r="D35" i="10"/>
  <c r="D40" i="10"/>
  <c r="D39" i="10"/>
  <c r="L290" i="1" l="1"/>
  <c r="C12" i="10"/>
  <c r="E111" i="2"/>
  <c r="E115" i="2" s="1"/>
  <c r="E145" i="2" s="1"/>
  <c r="F31" i="13"/>
  <c r="J338" i="1"/>
  <c r="D41" i="10"/>
  <c r="J352" i="1" l="1"/>
  <c r="H648" i="1"/>
  <c r="J648" i="1" s="1"/>
  <c r="L338" i="1"/>
  <c r="L352" i="1" s="1"/>
  <c r="G633" i="1" s="1"/>
  <c r="F660" i="1"/>
  <c r="D31" i="13"/>
  <c r="F33" i="13"/>
  <c r="C28" i="10"/>
  <c r="D12" i="10" s="1"/>
  <c r="C31" i="13" l="1"/>
  <c r="D33" i="13"/>
  <c r="D36" i="13" s="1"/>
  <c r="F664" i="1"/>
  <c r="I660" i="1"/>
  <c r="I664" i="1" s="1"/>
  <c r="D23" i="10"/>
  <c r="D26" i="10"/>
  <c r="D25" i="10"/>
  <c r="D27" i="10"/>
  <c r="C30" i="10"/>
  <c r="D18" i="10"/>
  <c r="D20" i="10"/>
  <c r="D15" i="10"/>
  <c r="D16" i="10"/>
  <c r="D19" i="10"/>
  <c r="D17" i="10"/>
  <c r="D21" i="10"/>
  <c r="D10" i="10"/>
  <c r="D13" i="10"/>
  <c r="D11" i="10"/>
  <c r="D22" i="10"/>
  <c r="D24" i="10"/>
  <c r="J633" i="1"/>
  <c r="H656" i="1"/>
  <c r="D28" i="10" l="1"/>
  <c r="I672" i="1"/>
  <c r="C7" i="10" s="1"/>
  <c r="I667" i="1"/>
  <c r="F672" i="1"/>
  <c r="C4" i="10" s="1"/>
  <c r="F667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<sst xmlns="http://schemas.openxmlformats.org/spreadsheetml/2006/main" count="3956" uniqueCount="914">
  <si>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</si>
  <si>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</si>
  <si>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</si>
  <si>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</si>
  <si>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</si>
  <si>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</si>
  <si>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</si>
  <si>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</si>
  <si>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</si>
  <si>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</si>
  <si>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</si>
  <si>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</si>
  <si>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</si>
  <si>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</si>
  <si>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</si>
  <si>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</si>
  <si>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</si>
  <si>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</si>
  <si>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</si>
  <si>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</si>
  <si>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</si>
  <si>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</si>
  <si>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</si>
  <si>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</si>
  <si>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</si>
  <si>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</si>
  <si>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</si>
  <si>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</si>
  <si>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</si>
  <si>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</si>
  <si>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</si>
  <si>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</si>
  <si>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</si>
  <si>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</si>
  <si>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</si>
  <si>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</si>
  <si>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</si>
  <si>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</si>
  <si>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</si>
  <si>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</si>
  <si>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</si>
  <si>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</si>
  <si>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</si>
  <si>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</si>
  <si>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</si>
  <si>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</si>
  <si>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</si>
  <si>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</si>
  <si>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</si>
  <si>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</si>
  <si>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</si>
  <si>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</si>
  <si>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</si>
  <si>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</si>
  <si>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</si>
  <si>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</si>
  <si>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</si>
  <si>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</si>
  <si>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</si>
  <si>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</si>
  <si>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</si>
  <si>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</si>
  <si>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</si>
  <si>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</si>
  <si>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</si>
  <si>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</si>
  <si>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</si>
  <si>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</si>
  <si>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</si>
  <si>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</si>
  <si>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</si>
  <si>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</si>
  <si>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</si>
  <si>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</si>
  <si>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</si>
  <si>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</si>
  <si>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</si>
  <si>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</si>
  <si>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</si>
  <si>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</si>
  <si>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</si>
  <si>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</si>
  <si>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</si>
  <si>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</si>
  <si>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</si>
  <si>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</si>
  <si>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</si>
  <si>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</si>
  <si>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</si>
  <si>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</si>
  <si>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</si>
  <si>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</si>
  <si>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</si>
  <si>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</si>
  <si>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</si>
  <si>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</si>
  <si>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</si>
  <si>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</si>
  <si>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</si>
  <si>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</si>
  <si>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</si>
  <si>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</si>
  <si>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</si>
  <si>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</si>
  <si>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</si>
  <si>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</si>
  <si>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</si>
  <si>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</si>
  <si>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</si>
  <si>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</si>
  <si>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</si>
  <si>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</si>
  <si>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</si>
  <si>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</si>
  <si>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</si>
  <si>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</si>
  <si>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</si>
  <si>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</si>
  <si>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</si>
  <si>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</si>
  <si>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</si>
  <si>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</si>
  <si>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</si>
  <si>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</si>
  <si>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</si>
  <si>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</si>
  <si>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</si>
  <si>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</si>
  <si>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</si>
  <si>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</si>
  <si>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</si>
  <si>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</si>
  <si>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</si>
  <si>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</si>
  <si>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</si>
  <si>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</si>
  <si>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</si>
  <si>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</si>
  <si>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</si>
  <si>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</si>
  <si>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</si>
  <si>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</si>
  <si>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</si>
  <si>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</si>
  <si>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</si>
  <si>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</si>
  <si>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</si>
  <si>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</si>
  <si>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</si>
  <si>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</si>
  <si>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</si>
  <si>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</si>
  <si>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</si>
  <si>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</si>
  <si>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</si>
  <si>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</si>
  <si>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</si>
  <si>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</si>
  <si>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</si>
  <si>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</si>
  <si>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</si>
  <si>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</si>
  <si>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</si>
  <si>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</si>
  <si>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</si>
  <si>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</si>
  <si>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</si>
  <si>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</si>
  <si>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</si>
  <si>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</si>
  <si>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</si>
  <si>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</si>
  <si>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</si>
  <si>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</si>
  <si>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</si>
  <si>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</si>
  <si>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</si>
  <si>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</si>
  <si>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</si>
  <si>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</si>
  <si>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</si>
  <si>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</si>
  <si>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</si>
  <si>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</si>
  <si>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</si>
  <si>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</si>
  <si>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</si>
  <si>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</si>
  <si>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</si>
  <si>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</si>
  <si>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</si>
  <si>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</si>
  <si>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</si>
  <si>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</si>
  <si>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</si>
  <si>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</si>
  <si>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</si>
  <si>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</si>
  <si>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</si>
  <si>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</si>
  <si>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</si>
  <si>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</si>
  <si>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</si>
  <si>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</si>
  <si>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</si>
  <si>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</si>
  <si>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</si>
  <si>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</si>
  <si>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</si>
  <si>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</si>
  <si>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</si>
  <si>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</si>
  <si>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</si>
  <si>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</si>
  <si>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</si>
  <si>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</si>
  <si>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</si>
  <si>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</si>
  <si>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</si>
  <si>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</si>
  <si>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</si>
  <si>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</si>
  <si>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</si>
  <si>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</si>
  <si>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</si>
  <si>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</si>
  <si>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</si>
  <si>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</si>
  <si>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</si>
  <si>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</si>
  <si>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</si>
  <si>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</si>
  <si>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</si>
  <si>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</si>
  <si>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</si>
  <si>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</si>
  <si>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</si>
  <si>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</si>
  <si>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</si>
  <si>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</si>
  <si>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</si>
  <si>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</si>
  <si>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</si>
  <si>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</si>
  <si>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</si>
  <si>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</si>
  <si>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</si>
  <si>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</si>
  <si>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</si>
  <si>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</si>
  <si>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</si>
  <si>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</si>
  <si>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</si>
  <si>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</si>
  <si>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</si>
  <si>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</si>
  <si>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</si>
  <si>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</si>
  <si>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</si>
  <si>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</si>
  <si>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</si>
  <si>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</si>
  <si>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</si>
  <si>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</si>
  <si>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</si>
  <si>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</si>
  <si>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</si>
  <si>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</si>
  <si>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</si>
  <si>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</si>
  <si>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</si>
  <si>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</si>
  <si>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</si>
  <si>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</si>
  <si>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</si>
  <si>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</si>
  <si>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</si>
  <si>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</si>
  <si>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</si>
  <si>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</si>
  <si>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</si>
  <si>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</si>
  <si>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</si>
  <si>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</si>
  <si>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</si>
  <si>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</si>
  <si>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</si>
  <si>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</si>
  <si>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</si>
  <si>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</si>
  <si>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</si>
  <si>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</si>
  <si>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</si>
  <si>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</si>
  <si>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</si>
  <si>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</si>
  <si>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</si>
  <si>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</si>
  <si>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</si>
  <si>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</si>
  <si>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</si>
  <si>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</si>
  <si>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</si>
  <si>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</si>
  <si>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</si>
  <si>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</si>
  <si>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</si>
  <si>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</si>
  <si>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</si>
  <si>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</si>
  <si>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</si>
  <si>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</si>
  <si>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</si>
  <si>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</si>
  <si>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</si>
  <si>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</si>
  <si>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</si>
  <si>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</si>
  <si>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</si>
  <si>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</si>
  <si>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</si>
  <si>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</si>
  <si>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</si>
  <si>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</si>
  <si>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</si>
  <si>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</si>
  <si>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</si>
  <si>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</si>
  <si>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</si>
  <si>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</si>
  <si>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</si>
  <si>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</si>
  <si>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</si>
  <si>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</si>
  <si>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</si>
  <si>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</si>
  <si>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</si>
  <si>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</si>
  <si>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</si>
  <si>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</si>
  <si>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</si>
  <si>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</si>
  <si>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</si>
  <si>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</si>
  <si>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</si>
  <si>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</si>
  <si>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</si>
  <si>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</si>
  <si>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</si>
  <si>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</si>
  <si>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</si>
  <si>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</si>
  <si>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</si>
  <si>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</si>
  <si>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</si>
  <si>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</si>
  <si>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</si>
  <si>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</si>
  <si>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</si>
  <si>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</si>
  <si>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</si>
  <si>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</si>
  <si>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</si>
  <si>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</si>
  <si>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</si>
  <si>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</si>
  <si>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</si>
  <si>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</si>
  <si>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</si>
  <si>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</si>
  <si>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</si>
  <si>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</si>
  <si>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</si>
  <si>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</si>
  <si>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</si>
  <si>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</si>
  <si>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</si>
  <si>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</si>
  <si>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</si>
  <si>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</si>
  <si>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</si>
  <si>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</si>
  <si>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</si>
  <si>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</si>
  <si>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</si>
  <si>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</si>
  <si>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</si>
  <si>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</si>
  <si>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</si>
  <si>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</si>
  <si>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</si>
  <si>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</si>
  <si>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</si>
  <si>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</si>
  <si>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</si>
  <si>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</si>
  <si>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</si>
  <si>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</si>
  <si>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</si>
  <si>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</si>
  <si>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</si>
  <si>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</si>
  <si>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</si>
  <si>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</si>
  <si>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</si>
  <si>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</si>
  <si>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</si>
  <si>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</si>
  <si>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</si>
  <si>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</si>
  <si>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</si>
  <si>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</si>
  <si>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</si>
  <si>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</si>
  <si>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</si>
  <si>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</si>
  <si>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</si>
  <si>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</si>
  <si>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</si>
  <si>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</si>
  <si>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</si>
  <si>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</si>
  <si>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</si>
  <si>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</si>
  <si>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</si>
  <si>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</si>
  <si>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</si>
  <si>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</si>
  <si>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</si>
  <si>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</si>
  <si>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</si>
  <si>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</si>
  <si>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</si>
  <si>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</si>
  <si>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</si>
  <si>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</si>
  <si>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</si>
  <si>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</si>
  <si>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</si>
  <si>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</si>
  <si>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</si>
  <si>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</si>
  <si>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</si>
  <si>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</si>
  <si>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</si>
  <si>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</si>
  <si>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</si>
  <si>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</si>
  <si>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</si>
  <si>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</si>
  <si>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</si>
  <si>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</si>
  <si>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</si>
  <si>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</si>
  <si>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</si>
  <si>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</si>
  <si>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</si>
  <si>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</si>
  <si>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</si>
  <si>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</si>
  <si>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</si>
  <si>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</si>
  <si>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</si>
  <si>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</si>
  <si>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</si>
  <si>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</si>
  <si>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</si>
  <si>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</si>
  <si>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</si>
  <si>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</si>
  <si>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</si>
  <si>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</si>
  <si>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</si>
  <si>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</si>
  <si>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</si>
  <si>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</si>
  <si>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</si>
  <si>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</si>
  <si>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</si>
  <si>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</si>
  <si>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</si>
  <si>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</si>
  <si>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</si>
  <si>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</si>
  <si>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</si>
  <si>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</si>
  <si>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</si>
  <si>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</si>
  <si>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</si>
  <si>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</si>
  <si>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</si>
  <si>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</si>
  <si>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</si>
  <si>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</si>
  <si>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</si>
  <si>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</si>
  <si>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</si>
  <si>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</si>
  <si>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</si>
  <si>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</si>
  <si>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</si>
  <si>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</si>
  <si>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</si>
  <si>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</si>
  <si>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</si>
  <si>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</si>
  <si>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</si>
  <si>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</si>
  <si>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</si>
  <si>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</si>
  <si>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</si>
  <si>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</si>
  <si>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</si>
  <si>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</si>
  <si>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</si>
  <si>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</si>
  <si>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</si>
  <si>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</si>
  <si>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</si>
  <si>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</si>
  <si>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</si>
  <si>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</si>
  <si>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</si>
  <si>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</si>
  <si>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</si>
  <si>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</si>
  <si>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</si>
  <si>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</si>
  <si>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</si>
  <si>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</si>
  <si>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</si>
  <si>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</si>
  <si>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</si>
  <si>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</si>
  <si>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</si>
  <si>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</si>
  <si>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</si>
  <si>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</si>
  <si>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</si>
  <si>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</si>
  <si>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</si>
  <si>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</si>
  <si>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</si>
  <si>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</si>
  <si>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</si>
  <si>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</si>
  <si>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</si>
  <si>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</si>
  <si>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</si>
  <si>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</si>
  <si>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</si>
  <si>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</si>
  <si>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</si>
  <si>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</si>
  <si>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</si>
  <si>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</si>
  <si>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</si>
  <si>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</si>
  <si>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</si>
  <si>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</si>
  <si>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</si>
  <si>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</si>
  <si>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</si>
  <si>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</si>
  <si>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</si>
  <si>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</si>
  <si>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</si>
  <si>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</si>
  <si>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</si>
  <si>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</si>
  <si>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</si>
  <si>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</si>
  <si>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</si>
  <si>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</si>
  <si>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</si>
  <si>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</si>
  <si>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</si>
  <si>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</si>
  <si>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</si>
  <si>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</si>
  <si>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</si>
  <si>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</si>
  <si>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</si>
  <si>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</si>
  <si>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</si>
  <si>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</si>
  <si>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</si>
  <si>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</si>
  <si>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</si>
  <si>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</si>
  <si>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</si>
  <si>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</si>
  <si>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</si>
  <si>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</si>
  <si>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</si>
  <si>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</si>
  <si>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</si>
  <si>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</si>
  <si>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</si>
  <si>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</si>
  <si>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</si>
  <si>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</si>
  <si>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</si>
  <si>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</si>
  <si>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</si>
  <si>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</si>
  <si>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</si>
  <si>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</si>
  <si>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</si>
  <si>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</si>
  <si>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</si>
  <si>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</si>
  <si>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</si>
  <si>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</si>
  <si>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</si>
  <si>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</si>
  <si>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</si>
  <si>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</si>
  <si>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</si>
  <si>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</si>
  <si>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</si>
  <si>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</si>
  <si>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</si>
  <si>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</si>
  <si>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</si>
  <si>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</si>
  <si>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</si>
  <si>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</si>
  <si>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</si>
  <si>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</si>
  <si>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</si>
  <si>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</si>
  <si>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</si>
  <si>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</si>
  <si>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</si>
  <si>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</si>
  <si>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</si>
  <si>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</si>
  <si>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</si>
  <si>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</si>
  <si>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</si>
  <si>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</si>
  <si>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</si>
  <si>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</si>
  <si>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</si>
  <si>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</si>
  <si>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</si>
  <si>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</si>
  <si>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</si>
  <si>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</si>
  <si>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</si>
  <si>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</si>
  <si>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</si>
  <si>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</si>
  <si>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</si>
  <si>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</si>
  <si>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</si>
  <si>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</si>
  <si>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</si>
  <si>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</si>
  <si>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</si>
  <si>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</si>
  <si>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</si>
  <si>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</si>
  <si>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</si>
  <si>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</si>
  <si>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</si>
  <si>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</si>
  <si>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</si>
  <si>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</si>
  <si>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</si>
  <si>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</si>
  <si>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</si>
  <si>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</si>
  <si>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</si>
  <si>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</si>
  <si>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</si>
  <si>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</si>
  <si>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</si>
  <si>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</si>
  <si>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</si>
  <si>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</si>
  <si>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</si>
  <si>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</si>
  <si>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</si>
  <si>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</si>
  <si>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</si>
  <si>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</si>
  <si>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</si>
  <si>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</si>
  <si>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</si>
  <si>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</si>
  <si>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</si>
  <si>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</si>
  <si>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</si>
  <si>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</si>
  <si>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</si>
  <si>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</si>
  <si>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</si>
  <si>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</si>
  <si>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</si>
  <si>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</si>
  <si>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</si>
  <si>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</si>
  <si>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</si>
  <si>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</si>
  <si>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</si>
  <si>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</si>
  <si>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</si>
  <si>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</si>
  <si>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</si>
  <si>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</si>
  <si>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</si>
  <si>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</si>
  <si>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</si>
  <si>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</si>
  <si>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</si>
  <si>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</si>
  <si>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</si>
  <si>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</si>
  <si>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</si>
  <si>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</si>
  <si>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</si>
  <si>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</si>
  <si>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</si>
  <si>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</si>
  <si>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</si>
  <si>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</si>
  <si>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</si>
  <si>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</si>
  <si>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</si>
  <si>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</si>
  <si>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</si>
  <si>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</si>
  <si>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</si>
  <si>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</si>
  <si>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</si>
  <si>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</si>
  <si>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</si>
  <si>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</si>
  <si>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</si>
  <si>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</si>
  <si>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</si>
  <si>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</si>
  <si>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</si>
  <si>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</si>
  <si>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</si>
  <si>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</si>
  <si>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</si>
  <si>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</si>
  <si>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</si>
  <si>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</si>
  <si>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</si>
  <si>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</si>
  <si>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</si>
  <si>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</si>
  <si>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</si>
  <si>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</si>
  <si>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</si>
  <si>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</si>
  <si>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</si>
  <si>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</si>
  <si>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</si>
  <si>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</si>
  <si>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</si>
  <si>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</si>
  <si>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</si>
  <si>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</si>
  <si>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</si>
  <si>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</si>
  <si>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</si>
  <si>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</si>
  <si>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</si>
  <si>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</si>
  <si>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</si>
  <si>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</si>
  <si>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</si>
  <si>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</si>
  <si>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</si>
  <si>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</si>
  <si>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</si>
  <si>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</si>
  <si>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</si>
  <si>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</si>
  <si>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</si>
  <si>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</si>
  <si>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</si>
  <si>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</si>
  <si>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</si>
  <si>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</si>
  <si>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</si>
  <si>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</si>
  <si>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</si>
  <si>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</si>
  <si>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</si>
  <si>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</si>
  <si>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</si>
  <si>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</si>
  <si>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</si>
  <si>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</si>
  <si>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</si>
  <si>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</si>
  <si>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</si>
  <si>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</si>
  <si>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</si>
  <si>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</si>
  <si>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</si>
  <si>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</si>
  <si>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</si>
  <si>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</si>
  <si>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</si>
  <si>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</si>
  <si>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</si>
  <si>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</si>
  <si>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</si>
  <si>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</si>
  <si>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</si>
  <si>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</si>
  <si>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</si>
  <si>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</si>
  <si>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</si>
  <si>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</si>
  <si>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</si>
  <si>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</si>
  <si>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</si>
  <si>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</si>
  <si>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</si>
  <si>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</si>
  <si>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</si>
  <si>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</si>
  <si>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</si>
  <si>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</si>
  <si>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</si>
  <si>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</si>
  <si>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</si>
  <si>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</si>
  <si>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</si>
  <si>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</si>
  <si>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</si>
  <si>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</si>
  <si>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</si>
  <si>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</si>
  <si>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</si>
  <si>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</si>
  <si>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</si>
  <si>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</si>
  <si>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</si>
  <si>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</si>
  <si>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</si>
  <si>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</si>
  <si>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</si>
  <si>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</si>
  <si>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</si>
  <si>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</si>
  <si>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</si>
  <si>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</si>
  <si>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</si>
  <si>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</si>
  <si>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</si>
  <si>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</si>
  <si>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</si>
  <si>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</si>
  <si>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</si>
  <si>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</si>
  <si>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</si>
  <si>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</si>
  <si>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</si>
  <si>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</si>
  <si>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</si>
  <si>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</si>
  <si>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</si>
  <si>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</si>
  <si>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</si>
  <si>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</si>
  <si>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</si>
  <si>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</si>
  <si>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</si>
  <si>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</si>
  <si>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</si>
  <si>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</si>
  <si>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</si>
  <si>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</si>
  <si>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</si>
  <si>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</si>
  <si>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</si>
  <si>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</si>
  <si>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</si>
  <si>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</si>
  <si>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</si>
  <si>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</si>
  <si>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</si>
  <si>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</si>
  <si>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</si>
  <si>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</si>
  <si>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</si>
  <si>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</si>
  <si>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</si>
  <si>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</si>
  <si>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</si>
  <si>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</si>
  <si>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</si>
  <si>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</si>
  <si>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</si>
  <si>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</si>
  <si>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</si>
  <si>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</si>
  <si>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</si>
  <si>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</si>
  <si>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</si>
  <si>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</si>
  <si>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</si>
  <si>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Dummer</t>
  </si>
  <si>
    <t>Tuition Expendable Trust Fund had a Capital Gain Loss of ($3,534.53 and interest of $2,101.72 for a negative interest of</t>
  </si>
  <si>
    <t>($1,432.81).  Per Ron it was reported all under Interest Revenue.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</si>
</sst>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opLeftCell="A613" zoomScale="75" workbookViewId="0">
      <selection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-49217.41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126183.95</v>
      </c>
      <c r="G10" s="18"/>
      <c r="H10" s="18"/>
      <c r="I10" s="18"/>
      <c r="J10" s="67">
        <f>SUM(I440)</f>
        <v>154611.76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2058.25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79024.789999999994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154611.76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462.42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462.42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11794.08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154611.76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66768.289999999994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78562.37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154611.76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79024.789999999994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154611.76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314984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314984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70.64</v>
      </c>
      <c r="G96" s="18"/>
      <c r="H96" s="18"/>
      <c r="I96" s="18"/>
      <c r="J96" s="18">
        <v>-1432.81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105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175.64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-1432.81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315159.64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-1432.81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119492.59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74382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193874.59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193874.59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2711.25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2711.25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2711.25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509034.23</v>
      </c>
      <c r="G193" s="47">
        <f>G112+G140+G169+G192</f>
        <v>0</v>
      </c>
      <c r="H193" s="47">
        <f>H112+H140+H169+H192</f>
        <v>2711.25</v>
      </c>
      <c r="I193" s="47">
        <f>I112+I140+I169+I192</f>
        <v>0</v>
      </c>
      <c r="J193" s="47">
        <f>J112+J140+J192</f>
        <v>-1432.81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f>400+140063.58</f>
        <v>140463.57999999999</v>
      </c>
      <c r="I197" s="18"/>
      <c r="J197" s="18"/>
      <c r="K197" s="18"/>
      <c r="L197" s="19">
        <f>SUM(F197:K197)</f>
        <v>140463.57999999999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>
        <v>276.70999999999998</v>
      </c>
      <c r="I200" s="18"/>
      <c r="J200" s="18"/>
      <c r="K200" s="18"/>
      <c r="L200" s="19">
        <f>SUM(F200:K200)</f>
        <v>276.70999999999998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f>3318.59+41.56+3318.58</f>
        <v>6678.73</v>
      </c>
      <c r="I202" s="18"/>
      <c r="J202" s="18"/>
      <c r="K202" s="18"/>
      <c r="L202" s="19">
        <f t="shared" ref="L202:L208" si="0">SUM(F202:K202)</f>
        <v>6678.73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1570*0.452</f>
        <v>709.64</v>
      </c>
      <c r="G204" s="18">
        <f>122.62*0.452</f>
        <v>55.424240000000005</v>
      </c>
      <c r="H204" s="18">
        <f>(460+157.5+22412)*0.452</f>
        <v>10409.334000000001</v>
      </c>
      <c r="I204" s="18"/>
      <c r="J204" s="18"/>
      <c r="K204" s="18">
        <f>1626.1*0.452</f>
        <v>734.99720000000002</v>
      </c>
      <c r="L204" s="19">
        <f t="shared" si="0"/>
        <v>11909.39544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100440*0.452</f>
        <v>45398.880000000005</v>
      </c>
      <c r="I208" s="18">
        <f>11716.28*0.452</f>
        <v>5295.7585600000002</v>
      </c>
      <c r="J208" s="18"/>
      <c r="K208" s="18"/>
      <c r="L208" s="19">
        <f t="shared" si="0"/>
        <v>50694.638560000007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709.64</v>
      </c>
      <c r="G211" s="41">
        <f t="shared" si="1"/>
        <v>55.424240000000005</v>
      </c>
      <c r="H211" s="41">
        <f t="shared" si="1"/>
        <v>203227.234</v>
      </c>
      <c r="I211" s="41">
        <f t="shared" si="1"/>
        <v>5295.7585600000002</v>
      </c>
      <c r="J211" s="41">
        <f t="shared" si="1"/>
        <v>0</v>
      </c>
      <c r="K211" s="41">
        <f t="shared" si="1"/>
        <v>734.99720000000002</v>
      </c>
      <c r="L211" s="41">
        <f t="shared" si="1"/>
        <v>210023.054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26280</v>
      </c>
      <c r="I215" s="18"/>
      <c r="J215" s="18"/>
      <c r="K215" s="18"/>
      <c r="L215" s="19">
        <f>SUM(F215:K215)</f>
        <v>26280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>
        <v>29.42</v>
      </c>
      <c r="I220" s="18"/>
      <c r="J220" s="18"/>
      <c r="K220" s="18"/>
      <c r="L220" s="19">
        <f t="shared" ref="L220:L226" si="2">SUM(F220:K220)</f>
        <v>29.42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1570*0.069</f>
        <v>108.33000000000001</v>
      </c>
      <c r="G222" s="18">
        <f>122.62*0.069</f>
        <v>8.4607800000000015</v>
      </c>
      <c r="H222" s="18">
        <f>(460+157.5+22412)*0.069</f>
        <v>1589.0355000000002</v>
      </c>
      <c r="I222" s="18"/>
      <c r="J222" s="18"/>
      <c r="K222" s="18">
        <f>1626.1*0.069</f>
        <v>112.2009</v>
      </c>
      <c r="L222" s="19">
        <f t="shared" si="2"/>
        <v>1818.0271800000003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100440*0.069</f>
        <v>6930.3600000000006</v>
      </c>
      <c r="I226" s="18">
        <f>11716.28*0.069</f>
        <v>808.4233200000001</v>
      </c>
      <c r="J226" s="18"/>
      <c r="K226" s="18"/>
      <c r="L226" s="19">
        <f t="shared" si="2"/>
        <v>7738.7833200000005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108.33000000000001</v>
      </c>
      <c r="G229" s="41">
        <f>SUM(G215:G228)</f>
        <v>8.4607800000000015</v>
      </c>
      <c r="H229" s="41">
        <f>SUM(H215:H228)</f>
        <v>34828.815499999997</v>
      </c>
      <c r="I229" s="41">
        <f>SUM(I215:I228)</f>
        <v>808.4233200000001</v>
      </c>
      <c r="J229" s="41">
        <f>SUM(J215:J228)</f>
        <v>0</v>
      </c>
      <c r="K229" s="41">
        <f t="shared" si="3"/>
        <v>112.2009</v>
      </c>
      <c r="L229" s="41">
        <f t="shared" si="3"/>
        <v>35866.230499999998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212422</v>
      </c>
      <c r="I233" s="18"/>
      <c r="J233" s="18"/>
      <c r="K233" s="18"/>
      <c r="L233" s="19">
        <f>SUM(F233:K233)</f>
        <v>212422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1570*0.479</f>
        <v>752.03</v>
      </c>
      <c r="G240" s="18">
        <f>122.62*0.479</f>
        <v>58.73498</v>
      </c>
      <c r="H240" s="18">
        <f>(460+157.5+22412)*0.479</f>
        <v>11031.130499999999</v>
      </c>
      <c r="I240" s="18"/>
      <c r="J240" s="18"/>
      <c r="K240" s="18">
        <f>1626.1*0.479</f>
        <v>778.90189999999996</v>
      </c>
      <c r="L240" s="19">
        <f t="shared" si="4"/>
        <v>12620.79738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100440*0.479</f>
        <v>48110.759999999995</v>
      </c>
      <c r="I244" s="18">
        <f>11716.28*0.479</f>
        <v>5612.0981199999997</v>
      </c>
      <c r="J244" s="18"/>
      <c r="K244" s="18"/>
      <c r="L244" s="19">
        <f t="shared" si="4"/>
        <v>53722.858119999997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752.03</v>
      </c>
      <c r="G247" s="41">
        <f t="shared" si="5"/>
        <v>58.73498</v>
      </c>
      <c r="H247" s="41">
        <f t="shared" si="5"/>
        <v>271563.89049999998</v>
      </c>
      <c r="I247" s="41">
        <f t="shared" si="5"/>
        <v>5612.0981199999997</v>
      </c>
      <c r="J247" s="41">
        <f t="shared" si="5"/>
        <v>0</v>
      </c>
      <c r="K247" s="41">
        <f t="shared" si="5"/>
        <v>778.90189999999996</v>
      </c>
      <c r="L247" s="41">
        <f t="shared" si="5"/>
        <v>278765.65549999999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1570</v>
      </c>
      <c r="G257" s="41">
        <f t="shared" si="8"/>
        <v>122.62</v>
      </c>
      <c r="H257" s="41">
        <f t="shared" si="8"/>
        <v>509619.93999999994</v>
      </c>
      <c r="I257" s="41">
        <f t="shared" si="8"/>
        <v>11716.279999999999</v>
      </c>
      <c r="J257" s="41">
        <f t="shared" si="8"/>
        <v>0</v>
      </c>
      <c r="K257" s="41">
        <f t="shared" si="8"/>
        <v>1626.1</v>
      </c>
      <c r="L257" s="41">
        <f t="shared" si="8"/>
        <v>524654.93999999994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1570</v>
      </c>
      <c r="G271" s="42">
        <f t="shared" si="11"/>
        <v>122.62</v>
      </c>
      <c r="H271" s="42">
        <f t="shared" si="11"/>
        <v>509619.93999999994</v>
      </c>
      <c r="I271" s="42">
        <f t="shared" si="11"/>
        <v>11716.279999999999</v>
      </c>
      <c r="J271" s="42">
        <f t="shared" si="11"/>
        <v>0</v>
      </c>
      <c r="K271" s="42">
        <f t="shared" si="11"/>
        <v>1626.1</v>
      </c>
      <c r="L271" s="42">
        <f t="shared" si="11"/>
        <v>524654.93999999994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1306</v>
      </c>
      <c r="I281" s="18"/>
      <c r="J281" s="18"/>
      <c r="K281" s="18"/>
      <c r="L281" s="19">
        <f t="shared" ref="L281:L287" si="12">SUM(F281:K281)</f>
        <v>1306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1306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1306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v>1306</v>
      </c>
      <c r="I300" s="18"/>
      <c r="J300" s="18"/>
      <c r="K300" s="18"/>
      <c r="L300" s="19">
        <f t="shared" ref="L300:L306" si="14">SUM(F300:K300)</f>
        <v>1306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1306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1306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2612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2612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99.25</v>
      </c>
      <c r="L350" s="19">
        <f t="shared" si="21"/>
        <v>99.25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99.25</v>
      </c>
      <c r="L351" s="41">
        <f>SUM(L341:L350)</f>
        <v>99.25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2612</v>
      </c>
      <c r="I352" s="41">
        <f>I338</f>
        <v>0</v>
      </c>
      <c r="J352" s="41">
        <f>J338</f>
        <v>0</v>
      </c>
      <c r="K352" s="47">
        <f>K338+K351</f>
        <v>99.25</v>
      </c>
      <c r="L352" s="41">
        <f>L338+L351</f>
        <v>2711.25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-1432.81</v>
      </c>
      <c r="I398" s="18"/>
      <c r="J398" s="24" t="s">
        <v>289</v>
      </c>
      <c r="K398" s="24" t="s">
        <v>289</v>
      </c>
      <c r="L398" s="56">
        <f t="shared" si="26"/>
        <v>-1432.81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-1432.81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-1432.81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-1432.81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-1432.81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154611.76</v>
      </c>
      <c r="H440" s="18"/>
      <c r="I440" s="56">
        <f t="shared" si="33"/>
        <v>154611.76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154611.76</v>
      </c>
      <c r="H446" s="13">
        <f>SUM(H439:H445)</f>
        <v>0</v>
      </c>
      <c r="I446" s="13">
        <f>SUM(I439:I445)</f>
        <v>154611.76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154611.76</v>
      </c>
      <c r="H459" s="18"/>
      <c r="I459" s="56">
        <f t="shared" si="34"/>
        <v>154611.76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154611.76</v>
      </c>
      <c r="H460" s="83">
        <f>SUM(H454:H459)</f>
        <v>0</v>
      </c>
      <c r="I460" s="83">
        <f>SUM(I454:I459)</f>
        <v>154611.76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154611.76</v>
      </c>
      <c r="H461" s="42">
        <f>H452+H460</f>
        <v>0</v>
      </c>
      <c r="I461" s="42">
        <f>I452+I460</f>
        <v>154611.76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94183.08</v>
      </c>
      <c r="G465" s="18"/>
      <c r="H465" s="18">
        <v>0</v>
      </c>
      <c r="I465" s="18"/>
      <c r="J465" s="18">
        <v>156044.57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509034.23</v>
      </c>
      <c r="G468" s="18"/>
      <c r="H468" s="18">
        <v>2711.25</v>
      </c>
      <c r="I468" s="18"/>
      <c r="J468" s="18">
        <v>-1432.81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509034.23</v>
      </c>
      <c r="G470" s="53">
        <f>SUM(G468:G469)</f>
        <v>0</v>
      </c>
      <c r="H470" s="53">
        <f>SUM(H468:H469)</f>
        <v>2711.25</v>
      </c>
      <c r="I470" s="53">
        <f>SUM(I468:I469)</f>
        <v>0</v>
      </c>
      <c r="J470" s="53">
        <f>SUM(J468:J469)</f>
        <v>-1432.81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524654.93999999994</v>
      </c>
      <c r="G472" s="18"/>
      <c r="H472" s="18">
        <v>2711.25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524654.93999999994</v>
      </c>
      <c r="G474" s="53">
        <f>SUM(G472:G473)</f>
        <v>0</v>
      </c>
      <c r="H474" s="53">
        <f>SUM(H472:H473)</f>
        <v>2711.25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78562.37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154611.76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v>276.70999999999998</v>
      </c>
      <c r="I521" s="18"/>
      <c r="J521" s="18"/>
      <c r="K521" s="18"/>
      <c r="L521" s="88">
        <f>SUM(F521:K521)</f>
        <v>276.70999999999998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276.70999999999998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276.70999999999998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41.56+6637.17+1306</f>
        <v>7984.7300000000005</v>
      </c>
      <c r="I526" s="18"/>
      <c r="J526" s="18"/>
      <c r="K526" s="18"/>
      <c r="L526" s="88">
        <f>SUM(F526:K526)</f>
        <v>7984.7300000000005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f>29.42+1306</f>
        <v>1335.42</v>
      </c>
      <c r="I527" s="18"/>
      <c r="J527" s="18"/>
      <c r="K527" s="18"/>
      <c r="L527" s="88">
        <f>SUM(F527:K527)</f>
        <v>1335.42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9320.1500000000015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9320.1500000000015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2363.62</v>
      </c>
      <c r="I531" s="18"/>
      <c r="J531" s="18"/>
      <c r="K531" s="18"/>
      <c r="L531" s="88">
        <f>SUM(F531:K531)</f>
        <v>2363.62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2317.2800000000002</v>
      </c>
      <c r="I532" s="18"/>
      <c r="J532" s="18"/>
      <c r="K532" s="18"/>
      <c r="L532" s="88">
        <f>SUM(F532:K532)</f>
        <v>2317.2800000000002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4680.8999999999996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4680.8999999999996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14277.76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14277.76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276.70999999999998</v>
      </c>
      <c r="G549" s="87">
        <f>L526</f>
        <v>7984.7300000000005</v>
      </c>
      <c r="H549" s="87">
        <f>L531</f>
        <v>2363.62</v>
      </c>
      <c r="I549" s="87">
        <f>L536</f>
        <v>0</v>
      </c>
      <c r="J549" s="87">
        <f>L541</f>
        <v>0</v>
      </c>
      <c r="K549" s="87">
        <f>SUM(F549:J549)</f>
        <v>10625.060000000001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1335.42</v>
      </c>
      <c r="H550" s="87">
        <f>L532</f>
        <v>2317.2800000000002</v>
      </c>
      <c r="I550" s="87">
        <f>L537</f>
        <v>0</v>
      </c>
      <c r="J550" s="87">
        <f>L542</f>
        <v>0</v>
      </c>
      <c r="K550" s="87">
        <f>SUM(F550:J550)</f>
        <v>3652.7000000000003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276.70999999999998</v>
      </c>
      <c r="G552" s="89">
        <f t="shared" si="42"/>
        <v>9320.1500000000015</v>
      </c>
      <c r="H552" s="89">
        <f t="shared" si="42"/>
        <v>4680.8999999999996</v>
      </c>
      <c r="I552" s="89">
        <f t="shared" si="42"/>
        <v>0</v>
      </c>
      <c r="J552" s="89">
        <f t="shared" si="42"/>
        <v>0</v>
      </c>
      <c r="K552" s="89">
        <f t="shared" si="42"/>
        <v>14277.760000000002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140463.57999999999</v>
      </c>
      <c r="G575" s="18">
        <v>26280</v>
      </c>
      <c r="H575" s="18">
        <v>212422</v>
      </c>
      <c r="I575" s="87">
        <f>SUM(F575:H575)</f>
        <v>379165.57999999996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50694.64</v>
      </c>
      <c r="I591" s="18">
        <v>7738.78</v>
      </c>
      <c r="J591" s="18">
        <v>53722.86</v>
      </c>
      <c r="K591" s="104">
        <f t="shared" ref="K591:K597" si="48">SUM(H591:J591)</f>
        <v>112156.28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50694.64</v>
      </c>
      <c r="I598" s="108">
        <f>SUM(I591:I597)</f>
        <v>7738.78</v>
      </c>
      <c r="J598" s="108">
        <f>SUM(J591:J597)</f>
        <v>53722.86</v>
      </c>
      <c r="K598" s="108">
        <f>SUM(K591:K597)</f>
        <v>112156.28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>
        <v>276.70999999999998</v>
      </c>
      <c r="I611" s="18"/>
      <c r="J611" s="18"/>
      <c r="K611" s="18"/>
      <c r="L611" s="88">
        <f>SUM(F611:K611)</f>
        <v>276.70999999999998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276.70999999999998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276.70999999999998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79024.789999999994</v>
      </c>
      <c r="H617" s="109">
        <f>SUM(F52)</f>
        <v>79024.789999999994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154611.76</v>
      </c>
      <c r="H621" s="109">
        <f>SUM(J52)</f>
        <v>154611.76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78562.37</v>
      </c>
      <c r="H622" s="109">
        <f>F476</f>
        <v>78562.37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154611.76</v>
      </c>
      <c r="H626" s="109">
        <f>J476</f>
        <v>154611.76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509034.23</v>
      </c>
      <c r="H627" s="104">
        <f>SUM(F468)</f>
        <v>509034.23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2711.25</v>
      </c>
      <c r="H629" s="104">
        <f>SUM(H468)</f>
        <v>2711.25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-1432.81</v>
      </c>
      <c r="H631" s="104">
        <f>SUM(J468)</f>
        <v>-1432.81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524654.93999999994</v>
      </c>
      <c r="H632" s="104">
        <f>SUM(F472)</f>
        <v>524654.93999999994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2711.25</v>
      </c>
      <c r="H633" s="104">
        <f>SUM(H472)</f>
        <v>2711.25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-1432.81</v>
      </c>
      <c r="H637" s="164">
        <f>SUM(J468)</f>
        <v>-1432.81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154611.76</v>
      </c>
      <c r="H640" s="104">
        <f>SUM(G461)</f>
        <v>154611.76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154611.76</v>
      </c>
      <c r="H642" s="104">
        <f>SUM(I461)</f>
        <v>154611.76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-1432.81</v>
      </c>
      <c r="H644" s="104">
        <f>H408</f>
        <v>-1432.81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-1432.81</v>
      </c>
      <c r="H646" s="104">
        <f>L408</f>
        <v>-1432.81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112156.28</v>
      </c>
      <c r="H647" s="104">
        <f>L208+L226+L244</f>
        <v>112156.28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50694.638560000007</v>
      </c>
      <c r="H649" s="104">
        <f>H598</f>
        <v>50694.64</v>
      </c>
      <c r="I649" s="140" t="s">
        <v>389</v>
      </c>
      <c r="J649" s="109">
        <f t="shared" si="50"/>
        <v>-1.4399999927263707E-3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7738.7833200000005</v>
      </c>
      <c r="H650" s="104">
        <f>I598</f>
        <v>7738.78</v>
      </c>
      <c r="I650" s="140" t="s">
        <v>390</v>
      </c>
      <c r="J650" s="109">
        <f t="shared" si="50"/>
        <v>3.3200000007127528E-3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53722.858119999997</v>
      </c>
      <c r="H651" s="104">
        <f>J598</f>
        <v>53722.86</v>
      </c>
      <c r="I651" s="140" t="s">
        <v>391</v>
      </c>
      <c r="J651" s="109">
        <f t="shared" si="50"/>
        <v>-1.8800000034389086E-3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211329.054</v>
      </c>
      <c r="G660" s="19">
        <f>(L229+L309+L359)</f>
        <v>37172.230499999998</v>
      </c>
      <c r="H660" s="19">
        <f>(L247+L328+L360)</f>
        <v>278765.65549999999</v>
      </c>
      <c r="I660" s="19">
        <f>SUM(F660:H660)</f>
        <v>527266.93999999994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50694.638560000007</v>
      </c>
      <c r="G662" s="19">
        <f>(L226+L306)-(J226+J306)</f>
        <v>7738.7833200000005</v>
      </c>
      <c r="H662" s="19">
        <f>(L244+L325)-(J244+J325)</f>
        <v>53722.858119999997</v>
      </c>
      <c r="I662" s="19">
        <f>SUM(F662:H662)</f>
        <v>112156.28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140740.28999999998</v>
      </c>
      <c r="G663" s="199">
        <f>SUM(G575:G587)+SUM(I602:I604)+L612</f>
        <v>26280</v>
      </c>
      <c r="H663" s="199">
        <f>SUM(H575:H587)+SUM(J602:J604)+L613</f>
        <v>212422</v>
      </c>
      <c r="I663" s="19">
        <f>SUM(F663:H663)</f>
        <v>379442.29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19894.125440000033</v>
      </c>
      <c r="G664" s="19">
        <f>G660-SUM(G661:G663)</f>
        <v>3153.4471799999956</v>
      </c>
      <c r="H664" s="19">
        <f>H660-SUM(H661:H663)</f>
        <v>12620.797380000004</v>
      </c>
      <c r="I664" s="19">
        <f>I660-SUM(I661:I663)</f>
        <v>35668.369999999995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-19894.13</v>
      </c>
      <c r="G669" s="18">
        <v>-3153.45</v>
      </c>
      <c r="H669" s="18">
        <v>-12620.8</v>
      </c>
      <c r="I669" s="19">
        <f>SUM(F669:H669)</f>
        <v>-35668.380000000005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Dummer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E10" sqref="E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Dummer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379442.29</v>
      </c>
      <c r="D5" s="20">
        <f>SUM('DOE25'!L197:L200)+SUM('DOE25'!L215:L218)+SUM('DOE25'!L233:L236)-F5-G5</f>
        <v>379442.29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6708.15</v>
      </c>
      <c r="D6" s="20">
        <f>'DOE25'!L202+'DOE25'!L220+'DOE25'!L238-F6-G6</f>
        <v>6708.15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17819.439999999999</v>
      </c>
      <c r="D8" s="243"/>
      <c r="E8" s="20">
        <f>'DOE25'!L204+'DOE25'!L222+'DOE25'!L240-F8-G8-D9-D11</f>
        <v>16193.34</v>
      </c>
      <c r="F8" s="255">
        <f>'DOE25'!J204+'DOE25'!J222+'DOE25'!J240</f>
        <v>0</v>
      </c>
      <c r="G8" s="53">
        <f>'DOE25'!K204+'DOE25'!K222+'DOE25'!K240</f>
        <v>1626.1</v>
      </c>
      <c r="H8" s="259"/>
    </row>
    <row r="9" spans="1:9" x14ac:dyDescent="0.2">
      <c r="A9" s="32">
        <v>2310</v>
      </c>
      <c r="B9" t="s">
        <v>818</v>
      </c>
      <c r="C9" s="245">
        <f t="shared" si="0"/>
        <v>3936.22</v>
      </c>
      <c r="D9" s="244">
        <v>3936.22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142.55000000000001</v>
      </c>
      <c r="D10" s="243"/>
      <c r="E10" s="244">
        <f>60+82.55</f>
        <v>142.55000000000001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4592.5600000000004</v>
      </c>
      <c r="D11" s="244">
        <v>4592.5600000000004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112156.28</v>
      </c>
      <c r="D15" s="20">
        <f>'DOE25'!L208+'DOE25'!L226+'DOE25'!L244-F15-G15</f>
        <v>112156.28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2612</v>
      </c>
      <c r="D31" s="20">
        <f>'DOE25'!L290+'DOE25'!L309+'DOE25'!L328+'DOE25'!L333+'DOE25'!L334+'DOE25'!L335-F31-G31</f>
        <v>2612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509447.5</v>
      </c>
      <c r="E33" s="246">
        <f>SUM(E5:E31)</f>
        <v>16335.89</v>
      </c>
      <c r="F33" s="246">
        <f>SUM(F5:F31)</f>
        <v>0</v>
      </c>
      <c r="G33" s="246">
        <f>SUM(G5:G31)</f>
        <v>1626.1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16335.89</v>
      </c>
      <c r="E35" s="249"/>
    </row>
    <row r="36" spans="2:8" ht="12" thickTop="1" x14ac:dyDescent="0.2">
      <c r="B36" t="s">
        <v>815</v>
      </c>
      <c r="D36" s="20">
        <f>D33</f>
        <v>509447.5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0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Dummer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-49217.41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126183.95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154611.76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2058.25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79024.789999999994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154611.76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462.42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462.42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11794.08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154611.76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66768.289999999994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78562.37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154611.76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79024.789999999994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154611.76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314984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70.64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-1432.81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175.64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-1432.81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315159.64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-1432.81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119492.59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74382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193874.59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193874.59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2711.25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0</v>
      </c>
      <c r="E91" s="131">
        <f>SUM(E85:E90)</f>
        <v>2711.25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509034.23</v>
      </c>
      <c r="D104" s="86">
        <f>D63+D81+D91+D103</f>
        <v>0</v>
      </c>
      <c r="E104" s="86">
        <f>E63+E81+E91+E103</f>
        <v>2711.25</v>
      </c>
      <c r="F104" s="86">
        <f>F63+F81+F91+F103</f>
        <v>0</v>
      </c>
      <c r="G104" s="86">
        <f>G63+G81+G103</f>
        <v>-1432.81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379165.57999999996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276.70999999999998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379442.29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6708.15</v>
      </c>
      <c r="D118" s="24" t="s">
        <v>289</v>
      </c>
      <c r="E118" s="95">
        <f>+('DOE25'!L281)+('DOE25'!L300)+('DOE25'!L319)</f>
        <v>2612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26348.22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112156.28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145212.65</v>
      </c>
      <c r="D128" s="86">
        <f>SUM(D118:D127)</f>
        <v>0</v>
      </c>
      <c r="E128" s="86">
        <f>SUM(E118:E127)</f>
        <v>2612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-1432.81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1432.81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99.25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99.25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524654.93999999994</v>
      </c>
      <c r="D145" s="86">
        <f>(D115+D128+D144)</f>
        <v>0</v>
      </c>
      <c r="E145" s="86">
        <f>(E115+E128+E144)</f>
        <v>2711.25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Dummer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379166</v>
      </c>
      <c r="D10" s="182">
        <f>ROUND((C10/$C$28)*100,1)</f>
        <v>71.900000000000006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277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9320</v>
      </c>
      <c r="D15" s="182">
        <f t="shared" ref="D15:D27" si="0">ROUND((C15/$C$28)*100,1)</f>
        <v>1.8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26348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112156</v>
      </c>
      <c r="D21" s="182">
        <f t="shared" si="0"/>
        <v>21.3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99.25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527366.25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527366.25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314984</v>
      </c>
      <c r="D35" s="182">
        <f t="shared" ref="D35:D40" si="1">ROUND((C35/$C$41)*100,1)</f>
        <v>61.7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-1257.1699999999837</v>
      </c>
      <c r="D36" s="182">
        <f t="shared" si="1"/>
        <v>-0.2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193875</v>
      </c>
      <c r="D37" s="182">
        <f t="shared" si="1"/>
        <v>38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2711</v>
      </c>
      <c r="D39" s="182">
        <f t="shared" si="1"/>
        <v>0.5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510312.83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0" sqref="C10:M1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Dummer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16</v>
      </c>
      <c r="B4" s="219">
        <v>11</v>
      </c>
      <c r="C4" s="285" t="s">
        <v>912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913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2014-08-07T17:23:02Z</cp:lastPrinted>
  <dcterms:created xsi:type="dcterms:W3CDTF">1997-12-04T19:04:30Z</dcterms:created>
  <dcterms:modified xsi:type="dcterms:W3CDTF">2014-08-07T17:25:22Z</dcterms:modified>
</cp:coreProperties>
</file>