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5" i="1" l="1"/>
  <c r="J592" i="1" l="1"/>
  <c r="I592" i="1"/>
  <c r="H592" i="1"/>
  <c r="G197" i="1" l="1"/>
  <c r="I197" i="1" l="1"/>
  <c r="J197" i="1" l="1"/>
  <c r="F57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C11" i="10" s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I661" i="1" s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C120" i="2"/>
  <c r="E120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F461" i="1" s="1"/>
  <c r="H639" i="1" s="1"/>
  <c r="G460" i="1"/>
  <c r="H460" i="1"/>
  <c r="I460" i="1"/>
  <c r="I461" i="1" s="1"/>
  <c r="H642" i="1" s="1"/>
  <c r="G461" i="1"/>
  <c r="H461" i="1"/>
  <c r="I470" i="1"/>
  <c r="J470" i="1"/>
  <c r="J476" i="1" s="1"/>
  <c r="H626" i="1" s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30" i="1"/>
  <c r="H631" i="1"/>
  <c r="H636" i="1"/>
  <c r="H637" i="1"/>
  <c r="H638" i="1"/>
  <c r="G639" i="1"/>
  <c r="G640" i="1"/>
  <c r="H640" i="1"/>
  <c r="G641" i="1"/>
  <c r="H641" i="1"/>
  <c r="G643" i="1"/>
  <c r="H643" i="1"/>
  <c r="G644" i="1"/>
  <c r="H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I257" i="1"/>
  <c r="I271" i="1" s="1"/>
  <c r="G164" i="2"/>
  <c r="C26" i="10"/>
  <c r="L328" i="1"/>
  <c r="L351" i="1"/>
  <c r="I662" i="1"/>
  <c r="A31" i="12"/>
  <c r="A40" i="12"/>
  <c r="D62" i="2"/>
  <c r="D63" i="2" s="1"/>
  <c r="D18" i="13"/>
  <c r="C18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401" i="1"/>
  <c r="C139" i="2" s="1"/>
  <c r="L393" i="1"/>
  <c r="F22" i="13"/>
  <c r="H571" i="1"/>
  <c r="L560" i="1"/>
  <c r="J545" i="1"/>
  <c r="G192" i="1"/>
  <c r="H192" i="1"/>
  <c r="F552" i="1"/>
  <c r="L309" i="1"/>
  <c r="E16" i="13"/>
  <c r="L570" i="1"/>
  <c r="I571" i="1"/>
  <c r="I545" i="1"/>
  <c r="J636" i="1"/>
  <c r="G36" i="2"/>
  <c r="L565" i="1"/>
  <c r="K551" i="1"/>
  <c r="C22" i="13"/>
  <c r="C138" i="2"/>
  <c r="C16" i="13"/>
  <c r="A13" i="12" l="1"/>
  <c r="C18" i="2"/>
  <c r="J641" i="1"/>
  <c r="J640" i="1"/>
  <c r="J639" i="1"/>
  <c r="J645" i="1"/>
  <c r="K598" i="1"/>
  <c r="G647" i="1" s="1"/>
  <c r="J647" i="1" s="1"/>
  <c r="L544" i="1"/>
  <c r="H552" i="1"/>
  <c r="K549" i="1"/>
  <c r="K552" i="1" s="1"/>
  <c r="L534" i="1"/>
  <c r="G545" i="1"/>
  <c r="K500" i="1"/>
  <c r="J617" i="1"/>
  <c r="H52" i="1"/>
  <c r="H619" i="1" s="1"/>
  <c r="J619" i="1" s="1"/>
  <c r="D18" i="2"/>
  <c r="J634" i="1"/>
  <c r="L362" i="1"/>
  <c r="G472" i="1" s="1"/>
  <c r="D145" i="2"/>
  <c r="E128" i="2"/>
  <c r="C16" i="10"/>
  <c r="E115" i="2"/>
  <c r="E110" i="2"/>
  <c r="L290" i="1"/>
  <c r="L338" i="1" s="1"/>
  <c r="L352" i="1" s="1"/>
  <c r="K271" i="1"/>
  <c r="K352" i="1"/>
  <c r="H660" i="1"/>
  <c r="H664" i="1" s="1"/>
  <c r="H672" i="1" s="1"/>
  <c r="C6" i="10" s="1"/>
  <c r="C15" i="10"/>
  <c r="C112" i="2"/>
  <c r="H257" i="1"/>
  <c r="H271" i="1" s="1"/>
  <c r="C109" i="2"/>
  <c r="C25" i="13"/>
  <c r="H33" i="13"/>
  <c r="C132" i="2"/>
  <c r="C124" i="2"/>
  <c r="D15" i="13"/>
  <c r="C15" i="13" s="1"/>
  <c r="G649" i="1"/>
  <c r="J649" i="1" s="1"/>
  <c r="C20" i="10"/>
  <c r="D14" i="13"/>
  <c r="C14" i="13" s="1"/>
  <c r="C121" i="2"/>
  <c r="D12" i="13"/>
  <c r="C12" i="13" s="1"/>
  <c r="E33" i="13"/>
  <c r="D35" i="13" s="1"/>
  <c r="D5" i="13"/>
  <c r="C5" i="13" s="1"/>
  <c r="L211" i="1"/>
  <c r="L257" i="1" s="1"/>
  <c r="L271" i="1" s="1"/>
  <c r="C10" i="10"/>
  <c r="C35" i="10"/>
  <c r="F112" i="1"/>
  <c r="C36" i="10" s="1"/>
  <c r="D91" i="2"/>
  <c r="C81" i="2"/>
  <c r="C63" i="2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D104" i="2" l="1"/>
  <c r="F193" i="1"/>
  <c r="G635" i="1"/>
  <c r="G474" i="1"/>
  <c r="H635" i="1"/>
  <c r="J635" i="1" s="1"/>
  <c r="G104" i="2"/>
  <c r="H646" i="1"/>
  <c r="G632" i="1"/>
  <c r="F472" i="1"/>
  <c r="C128" i="2"/>
  <c r="G633" i="1"/>
  <c r="H472" i="1"/>
  <c r="G629" i="1"/>
  <c r="H667" i="1"/>
  <c r="L545" i="1"/>
  <c r="E145" i="2"/>
  <c r="D31" i="13"/>
  <c r="C31" i="13" s="1"/>
  <c r="C115" i="2"/>
  <c r="C145" i="2" s="1"/>
  <c r="G667" i="1"/>
  <c r="C28" i="10"/>
  <c r="D23" i="10" s="1"/>
  <c r="F660" i="1"/>
  <c r="C51" i="2"/>
  <c r="G631" i="1"/>
  <c r="J631" i="1" s="1"/>
  <c r="J646" i="1"/>
  <c r="G193" i="1"/>
  <c r="G626" i="1"/>
  <c r="J626" i="1" s="1"/>
  <c r="J52" i="1"/>
  <c r="H621" i="1" s="1"/>
  <c r="J621" i="1" s="1"/>
  <c r="C38" i="10"/>
  <c r="G627" i="1" l="1"/>
  <c r="F468" i="1"/>
  <c r="H632" i="1"/>
  <c r="J632" i="1" s="1"/>
  <c r="F474" i="1"/>
  <c r="G628" i="1"/>
  <c r="G468" i="1"/>
  <c r="H633" i="1"/>
  <c r="J633" i="1" s="1"/>
  <c r="H474" i="1"/>
  <c r="H470" i="1"/>
  <c r="H629" i="1"/>
  <c r="J629" i="1" s="1"/>
  <c r="D33" i="13"/>
  <c r="D36" i="13" s="1"/>
  <c r="D13" i="10"/>
  <c r="D11" i="10"/>
  <c r="D21" i="10"/>
  <c r="D15" i="10"/>
  <c r="D19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F664" i="1"/>
  <c r="I660" i="1"/>
  <c r="I664" i="1" s="1"/>
  <c r="I672" i="1" s="1"/>
  <c r="C7" i="10" s="1"/>
  <c r="C41" i="10"/>
  <c r="D38" i="10" s="1"/>
  <c r="F470" i="1" l="1"/>
  <c r="F476" i="1" s="1"/>
  <c r="H622" i="1" s="1"/>
  <c r="J622" i="1" s="1"/>
  <c r="H627" i="1"/>
  <c r="J627" i="1" s="1"/>
  <c r="G470" i="1"/>
  <c r="G476" i="1" s="1"/>
  <c r="H623" i="1" s="1"/>
  <c r="J623" i="1" s="1"/>
  <c r="H628" i="1"/>
  <c r="J628" i="1" s="1"/>
  <c r="H476" i="1"/>
  <c r="H624" i="1" s="1"/>
  <c r="D28" i="10"/>
  <c r="F672" i="1"/>
  <c r="C4" i="10" s="1"/>
  <c r="F667" i="1"/>
  <c r="I667" i="1"/>
  <c r="D37" i="10"/>
  <c r="D36" i="10"/>
  <c r="D35" i="10"/>
  <c r="D40" i="10"/>
  <c r="D39" i="10"/>
  <c r="J624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<sst xmlns="http://schemas.openxmlformats.org/spreadsheetml/2006/main" count="3957" uniqueCount="914">
  <si>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</si>
  <si>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</si>
  <si>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</si>
  <si>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</si>
  <si>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</si>
  <si>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</si>
  <si>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</si>
  <si>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</si>
  <si>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</si>
  <si>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</si>
  <si>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</si>
  <si>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</si>
  <si>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</si>
  <si>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</si>
  <si>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</si>
  <si>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</si>
  <si>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</si>
  <si>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</si>
  <si>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</si>
  <si>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</si>
  <si>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</si>
  <si>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</si>
  <si>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</si>
  <si>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</si>
  <si>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</si>
  <si>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</si>
  <si>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</si>
  <si>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</si>
  <si>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</si>
  <si>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</si>
  <si>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</si>
  <si>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</si>
  <si>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</si>
  <si>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</si>
  <si>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</si>
  <si>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</si>
  <si>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</si>
  <si>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</si>
  <si>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</si>
  <si>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</si>
  <si>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</si>
  <si>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</si>
  <si>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</si>
  <si>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</si>
  <si>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</si>
  <si>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</si>
  <si>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</si>
  <si>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</si>
  <si>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</si>
  <si>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</si>
  <si>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</si>
  <si>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</si>
  <si>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</si>
  <si>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</si>
  <si>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</si>
  <si>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</si>
  <si>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</si>
  <si>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</si>
  <si>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</si>
  <si>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</si>
  <si>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</si>
  <si>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</si>
  <si>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</si>
  <si>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</si>
  <si>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</si>
  <si>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</si>
  <si>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</si>
  <si>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</si>
  <si>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</si>
  <si>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</si>
  <si>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</si>
  <si>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</si>
  <si>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</si>
  <si>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</si>
  <si>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</si>
  <si>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</si>
  <si>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</si>
  <si>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</si>
  <si>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</si>
  <si>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</si>
  <si>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</si>
  <si>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</si>
  <si>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</si>
  <si>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</si>
  <si>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</si>
  <si>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</si>
  <si>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</si>
  <si>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</si>
  <si>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</si>
  <si>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</si>
  <si>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</si>
  <si>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</si>
  <si>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</si>
  <si>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</si>
  <si>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</si>
  <si>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</si>
  <si>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</si>
  <si>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</si>
  <si>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</si>
  <si>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</si>
  <si>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</si>
  <si>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</si>
  <si>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</si>
  <si>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</si>
  <si>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</si>
  <si>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</si>
  <si>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</si>
  <si>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</si>
  <si>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</si>
  <si>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</si>
  <si>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</si>
  <si>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</si>
  <si>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</si>
  <si>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</si>
  <si>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</si>
  <si>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</si>
  <si>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</si>
  <si>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</si>
  <si>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</si>
  <si>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</si>
  <si>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</si>
  <si>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</si>
  <si>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</si>
  <si>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</si>
  <si>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</si>
  <si>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</si>
  <si>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</si>
  <si>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</si>
  <si>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</si>
  <si>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</si>
  <si>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</si>
  <si>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</si>
  <si>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</si>
  <si>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</si>
  <si>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</si>
  <si>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</si>
  <si>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</si>
  <si>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</si>
  <si>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</si>
  <si>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</si>
  <si>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</si>
  <si>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</si>
  <si>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</si>
  <si>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</si>
  <si>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</si>
  <si>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</si>
  <si>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</si>
  <si>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</si>
  <si>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</si>
  <si>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</si>
  <si>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</si>
  <si>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</si>
  <si>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</si>
  <si>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</si>
  <si>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</si>
  <si>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</si>
  <si>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</si>
  <si>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</si>
  <si>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</si>
  <si>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</si>
  <si>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</si>
  <si>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</si>
  <si>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</si>
  <si>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</si>
  <si>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</si>
  <si>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</si>
  <si>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</si>
  <si>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</si>
  <si>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</si>
  <si>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</si>
  <si>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</si>
  <si>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</si>
  <si>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</si>
  <si>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</si>
  <si>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</si>
  <si>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</si>
  <si>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</si>
  <si>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</si>
  <si>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</si>
  <si>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</si>
  <si>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</si>
  <si>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</si>
  <si>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</si>
  <si>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</si>
  <si>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</si>
  <si>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</si>
  <si>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</si>
  <si>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</si>
  <si>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</si>
  <si>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</si>
  <si>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</si>
  <si>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</si>
  <si>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</si>
  <si>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</si>
  <si>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</si>
  <si>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</si>
  <si>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</si>
  <si>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</si>
  <si>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</si>
  <si>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</si>
  <si>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</si>
  <si>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</si>
  <si>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</si>
  <si>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</si>
  <si>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</si>
  <si>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</si>
  <si>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</si>
  <si>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</si>
  <si>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</si>
  <si>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</si>
  <si>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</si>
  <si>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</si>
  <si>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</si>
  <si>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</si>
  <si>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</si>
  <si>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</si>
  <si>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</si>
  <si>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</si>
  <si>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</si>
  <si>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</si>
  <si>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</si>
  <si>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</si>
  <si>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</si>
  <si>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</si>
  <si>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</si>
  <si>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</si>
  <si>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</si>
  <si>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</si>
  <si>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</si>
  <si>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</si>
  <si>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</si>
  <si>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</si>
  <si>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</si>
  <si>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</si>
  <si>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</si>
  <si>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</si>
  <si>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</si>
  <si>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</si>
  <si>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</si>
  <si>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</si>
  <si>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</si>
  <si>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</si>
  <si>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</si>
  <si>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</si>
  <si>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</si>
  <si>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</si>
  <si>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</si>
  <si>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</si>
  <si>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</si>
  <si>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</si>
  <si>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</si>
  <si>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</si>
  <si>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</si>
  <si>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</si>
  <si>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</si>
  <si>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</si>
  <si>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</si>
  <si>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</si>
  <si>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</si>
  <si>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</si>
  <si>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</si>
  <si>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</si>
  <si>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</si>
  <si>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</si>
  <si>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</si>
  <si>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</si>
  <si>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</si>
  <si>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</si>
  <si>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</si>
  <si>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</si>
  <si>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</si>
  <si>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</si>
  <si>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</si>
  <si>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</si>
  <si>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</si>
  <si>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</si>
  <si>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</si>
  <si>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</si>
  <si>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</si>
  <si>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</si>
  <si>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</si>
  <si>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</si>
  <si>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</si>
  <si>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</si>
  <si>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</si>
  <si>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</si>
  <si>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</si>
  <si>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</si>
  <si>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</si>
  <si>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</si>
  <si>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</si>
  <si>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</si>
  <si>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</si>
  <si>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</si>
  <si>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</si>
  <si>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</si>
  <si>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</si>
  <si>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</si>
  <si>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</si>
  <si>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</si>
  <si>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</si>
  <si>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</si>
  <si>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</si>
  <si>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</si>
  <si>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</si>
  <si>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</si>
  <si>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</si>
  <si>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</si>
  <si>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</si>
  <si>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</si>
  <si>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</si>
  <si>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</si>
  <si>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</si>
  <si>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</si>
  <si>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</si>
  <si>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</si>
  <si>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</si>
  <si>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</si>
  <si>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</si>
  <si>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</si>
  <si>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</si>
  <si>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</si>
  <si>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</si>
  <si>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</si>
  <si>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</si>
  <si>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</si>
  <si>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</si>
  <si>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</si>
  <si>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</si>
  <si>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</si>
  <si>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</si>
  <si>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</si>
  <si>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</si>
  <si>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</si>
  <si>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</si>
  <si>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</si>
  <si>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</si>
  <si>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</si>
  <si>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</si>
  <si>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</si>
  <si>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</si>
  <si>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</si>
  <si>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</si>
  <si>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</si>
  <si>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</si>
  <si>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</si>
  <si>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</si>
  <si>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</si>
  <si>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</si>
  <si>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</si>
  <si>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</si>
  <si>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</si>
  <si>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</si>
  <si>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</si>
  <si>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</si>
  <si>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</si>
  <si>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</si>
  <si>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</si>
  <si>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</si>
  <si>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</si>
  <si>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</si>
  <si>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</si>
  <si>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</si>
  <si>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</si>
  <si>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</si>
  <si>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</si>
  <si>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</si>
  <si>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</si>
  <si>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</si>
  <si>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</si>
  <si>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</si>
  <si>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</si>
  <si>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</si>
  <si>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</si>
  <si>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</si>
  <si>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</si>
  <si>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</si>
  <si>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</si>
  <si>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</si>
  <si>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</si>
  <si>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</si>
  <si>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</si>
  <si>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</si>
  <si>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</si>
  <si>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</si>
  <si>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</si>
  <si>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</si>
  <si>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</si>
  <si>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</si>
  <si>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</si>
  <si>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</si>
  <si>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</si>
  <si>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</si>
  <si>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</si>
  <si>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</si>
  <si>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</si>
  <si>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</si>
  <si>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</si>
  <si>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</si>
  <si>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</si>
  <si>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</si>
  <si>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</si>
  <si>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</si>
  <si>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</si>
  <si>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</si>
  <si>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</si>
  <si>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</si>
  <si>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</si>
  <si>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</si>
  <si>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</si>
  <si>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</si>
  <si>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</si>
  <si>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</si>
  <si>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</si>
  <si>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</si>
  <si>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</si>
  <si>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</si>
  <si>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</si>
  <si>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</si>
  <si>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</si>
  <si>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</si>
  <si>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</si>
  <si>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</si>
  <si>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</si>
  <si>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</si>
  <si>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</si>
  <si>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</si>
  <si>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</si>
  <si>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</si>
  <si>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</si>
  <si>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</si>
  <si>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</si>
  <si>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</si>
  <si>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</si>
  <si>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</si>
  <si>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</si>
  <si>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</si>
  <si>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</si>
  <si>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</si>
  <si>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</si>
  <si>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</si>
  <si>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</si>
  <si>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</si>
  <si>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</si>
  <si>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</si>
  <si>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</si>
  <si>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</si>
  <si>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</si>
  <si>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</si>
  <si>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</si>
  <si>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</si>
  <si>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</si>
  <si>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</si>
  <si>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</si>
  <si>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</si>
  <si>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</si>
  <si>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</si>
  <si>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</si>
  <si>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</si>
  <si>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</si>
  <si>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</si>
  <si>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</si>
  <si>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</si>
  <si>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</si>
  <si>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</si>
  <si>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</si>
  <si>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</si>
  <si>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</si>
  <si>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</si>
  <si>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</si>
  <si>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</si>
  <si>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</si>
  <si>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</si>
  <si>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</si>
  <si>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</si>
  <si>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</si>
  <si>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</si>
  <si>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</si>
  <si>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</si>
  <si>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</si>
  <si>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</si>
  <si>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</si>
  <si>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</si>
  <si>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</si>
  <si>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</si>
  <si>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</si>
  <si>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</si>
  <si>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</si>
  <si>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</si>
  <si>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</si>
  <si>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</si>
  <si>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</si>
  <si>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</si>
  <si>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</si>
  <si>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</si>
  <si>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</si>
  <si>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</si>
  <si>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</si>
  <si>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</si>
  <si>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</si>
  <si>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</si>
  <si>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</si>
  <si>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</si>
  <si>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</si>
  <si>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</si>
  <si>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</si>
  <si>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</si>
  <si>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</si>
  <si>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</si>
  <si>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</si>
  <si>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</si>
  <si>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</si>
  <si>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</si>
  <si>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</si>
  <si>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</si>
  <si>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</si>
  <si>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</si>
  <si>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</si>
  <si>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</si>
  <si>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</si>
  <si>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</si>
  <si>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</si>
  <si>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</si>
  <si>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</si>
  <si>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</si>
  <si>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</si>
  <si>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</si>
  <si>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</si>
  <si>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</si>
  <si>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</si>
  <si>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</si>
  <si>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</si>
  <si>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</si>
  <si>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</si>
  <si>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</si>
  <si>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</si>
  <si>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</si>
  <si>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</si>
  <si>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</si>
  <si>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</si>
  <si>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</si>
  <si>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</si>
  <si>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</si>
  <si>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</si>
  <si>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</si>
  <si>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</si>
  <si>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</si>
  <si>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</si>
  <si>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</si>
  <si>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</si>
  <si>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</si>
  <si>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</si>
  <si>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</si>
  <si>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</si>
  <si>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</si>
  <si>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</si>
  <si>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</si>
  <si>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</si>
  <si>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</si>
  <si>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</si>
  <si>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</si>
  <si>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</si>
  <si>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</si>
  <si>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</si>
  <si>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</si>
  <si>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</si>
  <si>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</si>
  <si>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</si>
  <si>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</si>
  <si>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</si>
  <si>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</si>
  <si>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</si>
  <si>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</si>
  <si>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</si>
  <si>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</si>
  <si>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</si>
  <si>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</si>
  <si>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</si>
  <si>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</si>
  <si>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</si>
  <si>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</si>
  <si>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</si>
  <si>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</si>
  <si>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</si>
  <si>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</si>
  <si>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</si>
  <si>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</si>
  <si>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</si>
  <si>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</si>
  <si>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</si>
  <si>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</si>
  <si>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</si>
  <si>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</si>
  <si>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</si>
  <si>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</si>
  <si>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</si>
  <si>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</si>
  <si>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</si>
  <si>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</si>
  <si>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</si>
  <si>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</si>
  <si>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</si>
  <si>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</si>
  <si>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</si>
  <si>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</si>
  <si>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</si>
  <si>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</si>
  <si>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</si>
  <si>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</si>
  <si>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</si>
  <si>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</si>
  <si>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</si>
  <si>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</si>
  <si>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</si>
  <si>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</si>
  <si>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</si>
  <si>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</si>
  <si>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</si>
  <si>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</si>
  <si>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</si>
  <si>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</si>
  <si>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</si>
  <si>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</si>
  <si>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</si>
  <si>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</si>
  <si>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</si>
  <si>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</si>
  <si>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</si>
  <si>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</si>
  <si>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</si>
  <si>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</si>
  <si>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</si>
  <si>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</si>
  <si>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</si>
  <si>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</si>
  <si>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</si>
  <si>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</si>
  <si>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</si>
  <si>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</si>
  <si>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</si>
  <si>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</si>
  <si>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</si>
  <si>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</si>
  <si>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</si>
  <si>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</si>
  <si>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</si>
  <si>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</si>
  <si>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</si>
  <si>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</si>
  <si>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</si>
  <si>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</si>
  <si>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</si>
  <si>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</si>
  <si>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</si>
  <si>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</si>
  <si>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</si>
  <si>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</si>
  <si>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</si>
  <si>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</si>
  <si>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</si>
  <si>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</si>
  <si>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</si>
  <si>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</si>
  <si>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</si>
  <si>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</si>
  <si>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</si>
  <si>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</si>
  <si>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</si>
  <si>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</si>
  <si>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</si>
  <si>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</si>
  <si>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</si>
  <si>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</si>
  <si>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</si>
  <si>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</si>
  <si>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</si>
  <si>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</si>
  <si>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</si>
  <si>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</si>
  <si>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</si>
  <si>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</si>
  <si>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</si>
  <si>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</si>
  <si>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</si>
  <si>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</si>
  <si>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</si>
  <si>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</si>
  <si>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</si>
  <si>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</si>
  <si>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</si>
  <si>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</si>
  <si>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</si>
  <si>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</si>
  <si>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</si>
  <si>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</si>
  <si>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</si>
  <si>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</si>
  <si>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</si>
  <si>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</si>
  <si>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</si>
  <si>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</si>
  <si>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</si>
  <si>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</si>
  <si>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</si>
  <si>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</si>
  <si>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</si>
  <si>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</si>
  <si>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</si>
  <si>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</si>
  <si>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</si>
  <si>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</si>
  <si>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</si>
  <si>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</si>
  <si>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</si>
  <si>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</si>
  <si>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</si>
  <si>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</si>
  <si>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</si>
  <si>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</si>
  <si>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</si>
  <si>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</si>
  <si>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</si>
  <si>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</si>
  <si>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</si>
  <si>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</si>
  <si>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</si>
  <si>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</si>
  <si>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</si>
  <si>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</si>
  <si>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</si>
  <si>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</si>
  <si>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</si>
  <si>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</si>
  <si>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</si>
  <si>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</si>
  <si>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</si>
  <si>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</si>
  <si>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</si>
  <si>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</si>
  <si>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</si>
  <si>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</si>
  <si>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</si>
  <si>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</si>
  <si>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</si>
  <si>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</si>
  <si>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</si>
  <si>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</si>
  <si>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</si>
  <si>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</si>
  <si>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</si>
  <si>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</si>
  <si>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</si>
  <si>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</si>
  <si>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</si>
  <si>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</si>
  <si>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</si>
  <si>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</si>
  <si>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</si>
  <si>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</si>
  <si>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</si>
  <si>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</si>
  <si>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</si>
  <si>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</si>
  <si>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</si>
  <si>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</si>
  <si>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</si>
  <si>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</si>
  <si>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</si>
  <si>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</si>
  <si>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</si>
  <si>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</si>
  <si>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</si>
  <si>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</si>
  <si>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</si>
  <si>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</si>
  <si>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</si>
  <si>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</si>
  <si>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</si>
  <si>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</si>
  <si>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</si>
  <si>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</si>
  <si>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</si>
  <si>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</si>
  <si>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</si>
  <si>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</si>
  <si>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</si>
  <si>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</si>
  <si>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</si>
  <si>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</si>
  <si>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</si>
  <si>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</si>
  <si>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</si>
  <si>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</si>
  <si>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</si>
  <si>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</si>
  <si>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</si>
  <si>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</si>
  <si>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</si>
  <si>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</si>
  <si>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</si>
  <si>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</si>
  <si>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</si>
  <si>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</si>
  <si>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</si>
  <si>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</si>
  <si>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</si>
  <si>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</si>
  <si>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</si>
  <si>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</si>
  <si>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</si>
  <si>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</si>
  <si>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</si>
  <si>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</si>
  <si>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</si>
  <si>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</si>
  <si>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</si>
  <si>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</si>
  <si>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</si>
  <si>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</si>
  <si>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</si>
  <si>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</si>
  <si>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</si>
  <si>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</si>
  <si>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</si>
  <si>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</si>
  <si>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</si>
  <si>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</si>
  <si>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</si>
  <si>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</si>
  <si>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</si>
  <si>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</si>
  <si>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</si>
  <si>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</si>
  <si>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</si>
  <si>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</si>
  <si>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</si>
  <si>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</si>
  <si>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</si>
  <si>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</si>
  <si>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</si>
  <si>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</si>
  <si>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</si>
  <si>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</si>
  <si>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</si>
  <si>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</si>
  <si>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</si>
  <si>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</si>
  <si>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</si>
  <si>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</si>
  <si>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</si>
  <si>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</si>
  <si>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</si>
  <si>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</si>
  <si>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</si>
  <si>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</si>
  <si>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</si>
  <si>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</si>
  <si>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</si>
  <si>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</si>
  <si>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</si>
  <si>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</si>
  <si>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</si>
  <si>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</si>
  <si>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</si>
  <si>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</si>
  <si>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</si>
  <si>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</si>
  <si>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</si>
  <si>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</si>
  <si>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</si>
  <si>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</si>
  <si>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</si>
  <si>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</si>
  <si>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</si>
  <si>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</si>
  <si>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</si>
  <si>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</si>
  <si>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</si>
  <si>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</si>
  <si>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</si>
  <si>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</si>
  <si>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</si>
  <si>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</si>
  <si>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</si>
  <si>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</si>
  <si>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</si>
  <si>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</si>
  <si>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</si>
  <si>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</si>
  <si>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</si>
  <si>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</si>
  <si>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</si>
  <si>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</si>
  <si>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</si>
  <si>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</si>
  <si>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</si>
  <si>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</si>
  <si>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</si>
  <si>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</si>
  <si>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</si>
  <si>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</si>
  <si>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</si>
  <si>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</si>
  <si>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</si>
  <si>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</si>
  <si>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</si>
  <si>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</si>
  <si>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</si>
  <si>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</si>
  <si>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</si>
  <si>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</si>
  <si>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Dunbarton</t>
  </si>
  <si>
    <t>07/06</t>
  </si>
  <si>
    <t>07/16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</si>
</sst>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08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149</v>
      </c>
      <c r="C2" s="21">
        <v>149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1270727</v>
      </c>
      <c r="G9" s="18">
        <v>0</v>
      </c>
      <c r="H9" s="18">
        <v>1700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8691</v>
      </c>
      <c r="H12" s="18">
        <v>14094</v>
      </c>
      <c r="I12" s="18"/>
      <c r="J12" s="67">
        <f>SUM(I441)</f>
        <v>173058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5541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18417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1699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1296384</v>
      </c>
      <c r="G19" s="41">
        <f>SUM(G9:G18)</f>
        <v>8691</v>
      </c>
      <c r="H19" s="41">
        <f>SUM(H9:H18)</f>
        <v>15794</v>
      </c>
      <c r="I19" s="41">
        <f>SUM(I9:I18)</f>
        <v>0</v>
      </c>
      <c r="J19" s="41">
        <f>SUM(J9:J18)</f>
        <v>173058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350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31873</v>
      </c>
      <c r="G23" s="18"/>
      <c r="H23" s="18">
        <v>1255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20450</v>
      </c>
      <c r="G24" s="18">
        <v>8691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3657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651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55980</v>
      </c>
      <c r="G32" s="41">
        <f>SUM(G22:G31)</f>
        <v>8691</v>
      </c>
      <c r="H32" s="41">
        <f>SUM(H22:H31)</f>
        <v>2256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14241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1699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394012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10113</v>
      </c>
      <c r="I48" s="18"/>
      <c r="J48" s="13">
        <f>SUM(I459)</f>
        <v>173058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304410</v>
      </c>
      <c r="G49" s="18"/>
      <c r="H49" s="18">
        <v>3425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525042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1240404</v>
      </c>
      <c r="G51" s="41">
        <f>SUM(G35:G50)</f>
        <v>0</v>
      </c>
      <c r="H51" s="41">
        <f>SUM(H35:H50)</f>
        <v>13538</v>
      </c>
      <c r="I51" s="41">
        <f>SUM(I35:I50)</f>
        <v>0</v>
      </c>
      <c r="J51" s="41">
        <f>SUM(J35:J50)</f>
        <v>173058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1296384</v>
      </c>
      <c r="G52" s="41">
        <f>G51+G32</f>
        <v>8691</v>
      </c>
      <c r="H52" s="41">
        <f>H51+H32</f>
        <v>15794</v>
      </c>
      <c r="I52" s="41">
        <f>I51+I32</f>
        <v>0</v>
      </c>
      <c r="J52" s="41">
        <f>J51+J32</f>
        <v>173058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3497937+332289</f>
        <v>3830226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3830226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-57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20904+1550+2855+6788</f>
        <v>32097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30025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246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189</v>
      </c>
      <c r="G111" s="41">
        <f>SUM(G96:G110)</f>
        <v>32097</v>
      </c>
      <c r="H111" s="41">
        <f>SUM(H96:H110)</f>
        <v>30025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3830415</v>
      </c>
      <c r="G112" s="41">
        <f>G60+G111</f>
        <v>32097</v>
      </c>
      <c r="H112" s="41">
        <f>H60+H79+H94+H111</f>
        <v>30025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583622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692709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1276331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16672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644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16672</v>
      </c>
      <c r="G136" s="41">
        <f>SUM(G123:G135)</f>
        <v>644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1293003</v>
      </c>
      <c r="G140" s="41">
        <f>G121+SUM(G136:G137)</f>
        <v>644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14170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11572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14347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10473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50584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50584</v>
      </c>
      <c r="G162" s="41">
        <f>SUM(G150:G161)</f>
        <v>10473</v>
      </c>
      <c r="H162" s="41">
        <f>SUM(H150:H161)</f>
        <v>40089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3593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50584</v>
      </c>
      <c r="G169" s="41">
        <f>G147+G162+SUM(G163:G168)</f>
        <v>14066</v>
      </c>
      <c r="H169" s="41">
        <f>H147+H162+SUM(H163:H168)</f>
        <v>40089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8691</v>
      </c>
      <c r="H179" s="18"/>
      <c r="I179" s="18"/>
      <c r="J179" s="18">
        <v>32570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8691</v>
      </c>
      <c r="H183" s="41">
        <f>SUM(H179:H182)</f>
        <v>0</v>
      </c>
      <c r="I183" s="41">
        <f>SUM(I179:I182)</f>
        <v>0</v>
      </c>
      <c r="J183" s="41">
        <f>SUM(J179:J182)</f>
        <v>32570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8691</v>
      </c>
      <c r="H192" s="41">
        <f>+H183+SUM(H188:H191)</f>
        <v>0</v>
      </c>
      <c r="I192" s="41">
        <f>I177+I183+SUM(I188:I191)</f>
        <v>0</v>
      </c>
      <c r="J192" s="41">
        <f>J183</f>
        <v>32570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5174002</v>
      </c>
      <c r="G193" s="47">
        <f>G112+G140+G169+G192</f>
        <v>55498</v>
      </c>
      <c r="H193" s="47">
        <f>H112+H140+H169+H192</f>
        <v>70114</v>
      </c>
      <c r="I193" s="47">
        <f>I112+I140+I169+I192</f>
        <v>0</v>
      </c>
      <c r="J193" s="47">
        <f>J112+J140+J192</f>
        <v>32570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762618</v>
      </c>
      <c r="G197" s="18">
        <f>265379+624</f>
        <v>266003</v>
      </c>
      <c r="H197" s="18">
        <v>28901</v>
      </c>
      <c r="I197" s="18">
        <f>31639+255+240</f>
        <v>32134</v>
      </c>
      <c r="J197" s="18">
        <f>2812+60</f>
        <v>2872</v>
      </c>
      <c r="K197" s="18">
        <v>50</v>
      </c>
      <c r="L197" s="19">
        <f>SUM(F197:K197)</f>
        <v>1092578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218693</v>
      </c>
      <c r="G198" s="18">
        <v>82217</v>
      </c>
      <c r="H198" s="18">
        <v>30804</v>
      </c>
      <c r="I198" s="18">
        <v>2947</v>
      </c>
      <c r="J198" s="18">
        <v>4004</v>
      </c>
      <c r="K198" s="18">
        <v>125</v>
      </c>
      <c r="L198" s="19">
        <f>SUM(F198:K198)</f>
        <v>338790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>
        <v>100</v>
      </c>
      <c r="I200" s="18"/>
      <c r="J200" s="18"/>
      <c r="K200" s="18">
        <v>1348</v>
      </c>
      <c r="L200" s="19">
        <f>SUM(F200:K200)</f>
        <v>1448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133421</v>
      </c>
      <c r="G202" s="18">
        <v>45298</v>
      </c>
      <c r="H202" s="18">
        <v>163899</v>
      </c>
      <c r="I202" s="18">
        <v>2710</v>
      </c>
      <c r="J202" s="18"/>
      <c r="K202" s="18"/>
      <c r="L202" s="19">
        <f t="shared" ref="L202:L208" si="0">SUM(F202:K202)</f>
        <v>345328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53387</v>
      </c>
      <c r="G203" s="18">
        <v>11242</v>
      </c>
      <c r="H203" s="18">
        <v>25551</v>
      </c>
      <c r="I203" s="18">
        <v>8586</v>
      </c>
      <c r="J203" s="18">
        <v>2574</v>
      </c>
      <c r="K203" s="18"/>
      <c r="L203" s="19">
        <f t="shared" si="0"/>
        <v>101340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2450</v>
      </c>
      <c r="G204" s="18">
        <v>206</v>
      </c>
      <c r="H204" s="18">
        <v>154707</v>
      </c>
      <c r="I204" s="18"/>
      <c r="J204" s="18"/>
      <c r="K204" s="18">
        <v>3116</v>
      </c>
      <c r="L204" s="19">
        <f t="shared" si="0"/>
        <v>160479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128765</v>
      </c>
      <c r="G205" s="18">
        <v>49640</v>
      </c>
      <c r="H205" s="18">
        <v>6870</v>
      </c>
      <c r="I205" s="18">
        <v>39</v>
      </c>
      <c r="J205" s="18"/>
      <c r="K205" s="18">
        <v>735</v>
      </c>
      <c r="L205" s="19">
        <f t="shared" si="0"/>
        <v>186049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792</v>
      </c>
      <c r="L206" s="19">
        <f t="shared" si="0"/>
        <v>792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85885</v>
      </c>
      <c r="G207" s="18">
        <v>21218</v>
      </c>
      <c r="H207" s="18">
        <v>54322</v>
      </c>
      <c r="I207" s="18">
        <v>102733</v>
      </c>
      <c r="J207" s="18"/>
      <c r="K207" s="18"/>
      <c r="L207" s="19">
        <f t="shared" si="0"/>
        <v>264158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280908</v>
      </c>
      <c r="I208" s="18"/>
      <c r="J208" s="18"/>
      <c r="K208" s="18"/>
      <c r="L208" s="19">
        <f t="shared" si="0"/>
        <v>280908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1385219</v>
      </c>
      <c r="G211" s="41">
        <f t="shared" si="1"/>
        <v>475824</v>
      </c>
      <c r="H211" s="41">
        <f t="shared" si="1"/>
        <v>746062</v>
      </c>
      <c r="I211" s="41">
        <f t="shared" si="1"/>
        <v>149149</v>
      </c>
      <c r="J211" s="41">
        <f t="shared" si="1"/>
        <v>9450</v>
      </c>
      <c r="K211" s="41">
        <f t="shared" si="1"/>
        <v>6166</v>
      </c>
      <c r="L211" s="41">
        <f t="shared" si="1"/>
        <v>2771870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525766</v>
      </c>
      <c r="I215" s="18"/>
      <c r="J215" s="18"/>
      <c r="K215" s="18"/>
      <c r="L215" s="19">
        <f>SUM(F215:K215)</f>
        <v>525766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60648</v>
      </c>
      <c r="I216" s="18"/>
      <c r="J216" s="18"/>
      <c r="K216" s="18"/>
      <c r="L216" s="19">
        <f>SUM(F216:K216)</f>
        <v>60648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 t="s">
        <v>287</v>
      </c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232</v>
      </c>
      <c r="I220" s="18"/>
      <c r="J220" s="18"/>
      <c r="K220" s="18"/>
      <c r="L220" s="19">
        <f t="shared" ref="L220:L226" si="2">SUM(F220:K220)</f>
        <v>232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16283</v>
      </c>
      <c r="I226" s="18"/>
      <c r="J226" s="18"/>
      <c r="K226" s="18"/>
      <c r="L226" s="19">
        <f t="shared" si="2"/>
        <v>16283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602929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602929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1351114</v>
      </c>
      <c r="I233" s="18"/>
      <c r="J233" s="18"/>
      <c r="K233" s="18"/>
      <c r="L233" s="19">
        <f>SUM(F233:K233)</f>
        <v>1351114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126734</v>
      </c>
      <c r="I234" s="18"/>
      <c r="J234" s="18"/>
      <c r="K234" s="18"/>
      <c r="L234" s="19">
        <f>SUM(F234:K234)</f>
        <v>126734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3781</v>
      </c>
      <c r="I238" s="18"/>
      <c r="J238" s="18"/>
      <c r="K238" s="18"/>
      <c r="L238" s="19">
        <f t="shared" ref="L238:L244" si="4">SUM(F238:K238)</f>
        <v>3781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51201</v>
      </c>
      <c r="I244" s="18"/>
      <c r="J244" s="18"/>
      <c r="K244" s="18"/>
      <c r="L244" s="19">
        <f t="shared" si="4"/>
        <v>51201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1532830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1532830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1385219</v>
      </c>
      <c r="G257" s="41">
        <f t="shared" si="8"/>
        <v>475824</v>
      </c>
      <c r="H257" s="41">
        <f t="shared" si="8"/>
        <v>2881821</v>
      </c>
      <c r="I257" s="41">
        <f t="shared" si="8"/>
        <v>149149</v>
      </c>
      <c r="J257" s="41">
        <f t="shared" si="8"/>
        <v>9450</v>
      </c>
      <c r="K257" s="41">
        <f t="shared" si="8"/>
        <v>6166</v>
      </c>
      <c r="L257" s="41">
        <f t="shared" si="8"/>
        <v>4907629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65000</v>
      </c>
      <c r="L260" s="19">
        <f>SUM(F260:K260)</f>
        <v>65000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10189</v>
      </c>
      <c r="L261" s="19">
        <f>SUM(F261:K261)</f>
        <v>10189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8691</v>
      </c>
      <c r="L263" s="19">
        <f>SUM(F263:K263)</f>
        <v>8691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32570</v>
      </c>
      <c r="L266" s="19">
        <f t="shared" si="9"/>
        <v>32570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116450</v>
      </c>
      <c r="L270" s="41">
        <f t="shared" si="9"/>
        <v>116450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1385219</v>
      </c>
      <c r="G271" s="42">
        <f t="shared" si="11"/>
        <v>475824</v>
      </c>
      <c r="H271" s="42">
        <f t="shared" si="11"/>
        <v>2881821</v>
      </c>
      <c r="I271" s="42">
        <f t="shared" si="11"/>
        <v>149149</v>
      </c>
      <c r="J271" s="42">
        <f t="shared" si="11"/>
        <v>9450</v>
      </c>
      <c r="K271" s="42">
        <f t="shared" si="11"/>
        <v>122616</v>
      </c>
      <c r="L271" s="42">
        <f t="shared" si="11"/>
        <v>5024079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14779</v>
      </c>
      <c r="G276" s="18">
        <v>1647</v>
      </c>
      <c r="H276" s="18"/>
      <c r="I276" s="18">
        <v>478</v>
      </c>
      <c r="J276" s="18">
        <v>14170</v>
      </c>
      <c r="K276" s="18"/>
      <c r="L276" s="19">
        <f>SUM(F276:K276)</f>
        <v>31074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26708</v>
      </c>
      <c r="G277" s="18">
        <v>2216</v>
      </c>
      <c r="H277" s="18">
        <v>787</v>
      </c>
      <c r="I277" s="18"/>
      <c r="J277" s="18"/>
      <c r="K277" s="18"/>
      <c r="L277" s="19">
        <f>SUM(F277:K277)</f>
        <v>29711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6079</v>
      </c>
      <c r="G282" s="18">
        <v>522</v>
      </c>
      <c r="H282" s="18">
        <v>1300</v>
      </c>
      <c r="I282" s="18"/>
      <c r="J282" s="18"/>
      <c r="K282" s="18"/>
      <c r="L282" s="19">
        <f t="shared" si="12"/>
        <v>7901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168</v>
      </c>
      <c r="L285" s="19">
        <f t="shared" si="12"/>
        <v>168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4300</v>
      </c>
      <c r="K286" s="18"/>
      <c r="L286" s="19">
        <f t="shared" si="12"/>
        <v>4300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47566</v>
      </c>
      <c r="G290" s="42">
        <f t="shared" si="13"/>
        <v>4385</v>
      </c>
      <c r="H290" s="42">
        <f t="shared" si="13"/>
        <v>2087</v>
      </c>
      <c r="I290" s="42">
        <f t="shared" si="13"/>
        <v>478</v>
      </c>
      <c r="J290" s="42">
        <f t="shared" si="13"/>
        <v>18470</v>
      </c>
      <c r="K290" s="42">
        <f t="shared" si="13"/>
        <v>168</v>
      </c>
      <c r="L290" s="41">
        <f t="shared" si="13"/>
        <v>73154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47566</v>
      </c>
      <c r="G338" s="41">
        <f t="shared" si="20"/>
        <v>4385</v>
      </c>
      <c r="H338" s="41">
        <f t="shared" si="20"/>
        <v>2087</v>
      </c>
      <c r="I338" s="41">
        <f t="shared" si="20"/>
        <v>478</v>
      </c>
      <c r="J338" s="41">
        <f t="shared" si="20"/>
        <v>18470</v>
      </c>
      <c r="K338" s="41">
        <f t="shared" si="20"/>
        <v>168</v>
      </c>
      <c r="L338" s="41">
        <f t="shared" si="20"/>
        <v>73154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47566</v>
      </c>
      <c r="G352" s="41">
        <f>G338</f>
        <v>4385</v>
      </c>
      <c r="H352" s="41">
        <f>H338</f>
        <v>2087</v>
      </c>
      <c r="I352" s="41">
        <f>I338</f>
        <v>478</v>
      </c>
      <c r="J352" s="41">
        <f>J338</f>
        <v>18470</v>
      </c>
      <c r="K352" s="47">
        <f>K338+K351</f>
        <v>168</v>
      </c>
      <c r="L352" s="41">
        <f>L338+L351</f>
        <v>73154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21679</v>
      </c>
      <c r="G358" s="18">
        <v>2387</v>
      </c>
      <c r="H358" s="18">
        <v>5936</v>
      </c>
      <c r="I358" s="18">
        <v>21857</v>
      </c>
      <c r="J358" s="18">
        <v>2995</v>
      </c>
      <c r="K358" s="18">
        <v>644</v>
      </c>
      <c r="L358" s="13">
        <f>SUM(F358:K358)</f>
        <v>55498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21679</v>
      </c>
      <c r="G362" s="47">
        <f t="shared" si="22"/>
        <v>2387</v>
      </c>
      <c r="H362" s="47">
        <f t="shared" si="22"/>
        <v>5936</v>
      </c>
      <c r="I362" s="47">
        <f t="shared" si="22"/>
        <v>21857</v>
      </c>
      <c r="J362" s="47">
        <f t="shared" si="22"/>
        <v>2995</v>
      </c>
      <c r="K362" s="47">
        <f t="shared" si="22"/>
        <v>644</v>
      </c>
      <c r="L362" s="47">
        <f t="shared" si="22"/>
        <v>55498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18659</v>
      </c>
      <c r="G367" s="18"/>
      <c r="H367" s="18"/>
      <c r="I367" s="56">
        <f>SUM(F367:H367)</f>
        <v>18659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3198</v>
      </c>
      <c r="G368" s="63"/>
      <c r="H368" s="63"/>
      <c r="I368" s="56">
        <f>SUM(F368:H368)</f>
        <v>3198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21857</v>
      </c>
      <c r="G369" s="47">
        <f>SUM(G367:G368)</f>
        <v>0</v>
      </c>
      <c r="H369" s="47">
        <f>SUM(H367:H368)</f>
        <v>0</v>
      </c>
      <c r="I369" s="47">
        <f>SUM(I367:I368)</f>
        <v>21857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31570</v>
      </c>
      <c r="H396" s="18"/>
      <c r="I396" s="18"/>
      <c r="J396" s="24" t="s">
        <v>289</v>
      </c>
      <c r="K396" s="24" t="s">
        <v>289</v>
      </c>
      <c r="L396" s="56">
        <f t="shared" si="26"/>
        <v>31570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</v>
      </c>
      <c r="H400" s="18"/>
      <c r="I400" s="18"/>
      <c r="J400" s="24" t="s">
        <v>289</v>
      </c>
      <c r="K400" s="24" t="s">
        <v>289</v>
      </c>
      <c r="L400" s="56">
        <f t="shared" si="26"/>
        <v>1000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32570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32570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32570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32570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168017</v>
      </c>
      <c r="G441" s="18">
        <v>3026</v>
      </c>
      <c r="H441" s="18">
        <v>2015</v>
      </c>
      <c r="I441" s="56">
        <f t="shared" si="33"/>
        <v>173058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168017</v>
      </c>
      <c r="G446" s="13">
        <f>SUM(G439:G445)</f>
        <v>3026</v>
      </c>
      <c r="H446" s="13">
        <f>SUM(H439:H445)</f>
        <v>2015</v>
      </c>
      <c r="I446" s="13">
        <f>SUM(I439:I445)</f>
        <v>173058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168017</v>
      </c>
      <c r="G459" s="18">
        <v>3026</v>
      </c>
      <c r="H459" s="18">
        <v>2015</v>
      </c>
      <c r="I459" s="56">
        <f t="shared" si="34"/>
        <v>173058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168017</v>
      </c>
      <c r="G460" s="83">
        <f>SUM(G454:G459)</f>
        <v>3026</v>
      </c>
      <c r="H460" s="83">
        <f>SUM(H454:H459)</f>
        <v>2015</v>
      </c>
      <c r="I460" s="83">
        <f>SUM(I454:I459)</f>
        <v>173058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168017</v>
      </c>
      <c r="G461" s="42">
        <f>G452+G460</f>
        <v>3026</v>
      </c>
      <c r="H461" s="42">
        <f>H452+H460</f>
        <v>2015</v>
      </c>
      <c r="I461" s="42">
        <f>I452+I460</f>
        <v>173058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1090481</v>
      </c>
      <c r="G465" s="18">
        <v>0</v>
      </c>
      <c r="H465" s="18">
        <v>16578</v>
      </c>
      <c r="I465" s="18"/>
      <c r="J465" s="18">
        <f>150793-10305</f>
        <v>140488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5174002</v>
      </c>
      <c r="G468" s="18">
        <f>G193</f>
        <v>55498</v>
      </c>
      <c r="H468" s="18">
        <v>70114</v>
      </c>
      <c r="I468" s="18"/>
      <c r="J468" s="18">
        <v>32570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5174002</v>
      </c>
      <c r="G470" s="53">
        <f>SUM(G468:G469)</f>
        <v>55498</v>
      </c>
      <c r="H470" s="53">
        <f>SUM(H468:H469)</f>
        <v>70114</v>
      </c>
      <c r="I470" s="53">
        <f>SUM(I468:I469)</f>
        <v>0</v>
      </c>
      <c r="J470" s="53">
        <f>SUM(J468:J469)</f>
        <v>32570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5024079</v>
      </c>
      <c r="G472" s="18">
        <f>L362</f>
        <v>55498</v>
      </c>
      <c r="H472" s="18">
        <f>L352</f>
        <v>73154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5024079</v>
      </c>
      <c r="G474" s="53">
        <f>SUM(G472:G473)</f>
        <v>55498</v>
      </c>
      <c r="H474" s="53">
        <f>SUM(H472:H473)</f>
        <v>73154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1240404</v>
      </c>
      <c r="G476" s="53">
        <f>(G465+G470)- G474</f>
        <v>0</v>
      </c>
      <c r="H476" s="53">
        <f>(H465+H470)- H474</f>
        <v>13538</v>
      </c>
      <c r="I476" s="53">
        <f>(I465+I470)- I474</f>
        <v>0</v>
      </c>
      <c r="J476" s="53">
        <f>(J465+J470)- J474</f>
        <v>173058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525000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0.05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212000</v>
      </c>
      <c r="G495" s="18"/>
      <c r="H495" s="18"/>
      <c r="I495" s="18"/>
      <c r="J495" s="18"/>
      <c r="K495" s="53">
        <f>SUM(F495:J495)</f>
        <v>212000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65000</v>
      </c>
      <c r="G497" s="18"/>
      <c r="H497" s="18"/>
      <c r="I497" s="18"/>
      <c r="J497" s="18"/>
      <c r="K497" s="53">
        <f t="shared" si="35"/>
        <v>65000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147000</v>
      </c>
      <c r="G498" s="204"/>
      <c r="H498" s="204"/>
      <c r="I498" s="204"/>
      <c r="J498" s="204"/>
      <c r="K498" s="205">
        <f t="shared" si="35"/>
        <v>147000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19014</v>
      </c>
      <c r="G499" s="18"/>
      <c r="H499" s="18"/>
      <c r="I499" s="18"/>
      <c r="J499" s="18"/>
      <c r="K499" s="53">
        <f t="shared" si="35"/>
        <v>19014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166014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166014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60000</v>
      </c>
      <c r="G501" s="204"/>
      <c r="H501" s="204"/>
      <c r="I501" s="204"/>
      <c r="J501" s="204"/>
      <c r="K501" s="205">
        <f t="shared" si="35"/>
        <v>60000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7125</v>
      </c>
      <c r="G502" s="18"/>
      <c r="H502" s="18"/>
      <c r="I502" s="18"/>
      <c r="J502" s="18"/>
      <c r="K502" s="53">
        <f t="shared" si="35"/>
        <v>7125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67125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67125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218693</v>
      </c>
      <c r="G521" s="18">
        <v>82217</v>
      </c>
      <c r="H521" s="18">
        <v>30804</v>
      </c>
      <c r="I521" s="18">
        <v>2947</v>
      </c>
      <c r="J521" s="18">
        <v>4004</v>
      </c>
      <c r="K521" s="18">
        <v>125</v>
      </c>
      <c r="L521" s="88">
        <f>SUM(F521:K521)</f>
        <v>338790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60648</v>
      </c>
      <c r="I522" s="18"/>
      <c r="J522" s="18"/>
      <c r="K522" s="18"/>
      <c r="L522" s="88">
        <f>SUM(F522:K522)</f>
        <v>60648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126734</v>
      </c>
      <c r="I523" s="18"/>
      <c r="J523" s="18"/>
      <c r="K523" s="18"/>
      <c r="L523" s="88">
        <f>SUM(F523:K523)</f>
        <v>126734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218693</v>
      </c>
      <c r="G524" s="108">
        <f t="shared" ref="G524:L524" si="36">SUM(G521:G523)</f>
        <v>82217</v>
      </c>
      <c r="H524" s="108">
        <f t="shared" si="36"/>
        <v>218186</v>
      </c>
      <c r="I524" s="108">
        <f t="shared" si="36"/>
        <v>2947</v>
      </c>
      <c r="J524" s="108">
        <f t="shared" si="36"/>
        <v>4004</v>
      </c>
      <c r="K524" s="108">
        <f t="shared" si="36"/>
        <v>125</v>
      </c>
      <c r="L524" s="89">
        <f t="shared" si="36"/>
        <v>526172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46176</v>
      </c>
      <c r="G526" s="18">
        <v>22086</v>
      </c>
      <c r="H526" s="18"/>
      <c r="I526" s="18"/>
      <c r="J526" s="18"/>
      <c r="K526" s="18"/>
      <c r="L526" s="88">
        <f>SUM(F526:K526)</f>
        <v>68262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46176</v>
      </c>
      <c r="G529" s="89">
        <f t="shared" ref="G529:L529" si="37">SUM(G526:G528)</f>
        <v>22086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68262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6892</v>
      </c>
      <c r="G531" s="18">
        <v>2491</v>
      </c>
      <c r="H531" s="18"/>
      <c r="I531" s="18"/>
      <c r="J531" s="18"/>
      <c r="K531" s="18"/>
      <c r="L531" s="88">
        <f>SUM(F531:K531)</f>
        <v>9383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1718</v>
      </c>
      <c r="G532" s="18">
        <v>558</v>
      </c>
      <c r="H532" s="18"/>
      <c r="I532" s="18"/>
      <c r="J532" s="18"/>
      <c r="K532" s="18"/>
      <c r="L532" s="88">
        <f>SUM(F532:K532)</f>
        <v>2276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3440</v>
      </c>
      <c r="G533" s="18">
        <v>1243</v>
      </c>
      <c r="H533" s="18"/>
      <c r="I533" s="18"/>
      <c r="J533" s="18"/>
      <c r="K533" s="18"/>
      <c r="L533" s="88">
        <f>SUM(F533:K533)</f>
        <v>4683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12050</v>
      </c>
      <c r="G534" s="89">
        <f t="shared" ref="G534:L534" si="38">SUM(G531:G533)</f>
        <v>4292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16342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22883</v>
      </c>
      <c r="I541" s="18"/>
      <c r="J541" s="18"/>
      <c r="K541" s="18"/>
      <c r="L541" s="88">
        <f>SUM(F541:K541)</f>
        <v>22883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16283</v>
      </c>
      <c r="I542" s="18"/>
      <c r="J542" s="18"/>
      <c r="K542" s="18"/>
      <c r="L542" s="88">
        <f>SUM(F542:K542)</f>
        <v>16283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51201</v>
      </c>
      <c r="I543" s="18"/>
      <c r="J543" s="18"/>
      <c r="K543" s="18"/>
      <c r="L543" s="88">
        <f>SUM(F543:K543)</f>
        <v>51201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90367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90367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276919</v>
      </c>
      <c r="G545" s="89">
        <f t="shared" ref="G545:L545" si="41">G524+G529+G534+G539+G544</f>
        <v>108595</v>
      </c>
      <c r="H545" s="89">
        <f t="shared" si="41"/>
        <v>308553</v>
      </c>
      <c r="I545" s="89">
        <f t="shared" si="41"/>
        <v>2947</v>
      </c>
      <c r="J545" s="89">
        <f t="shared" si="41"/>
        <v>4004</v>
      </c>
      <c r="K545" s="89">
        <f t="shared" si="41"/>
        <v>125</v>
      </c>
      <c r="L545" s="89">
        <f t="shared" si="41"/>
        <v>701143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338790</v>
      </c>
      <c r="G549" s="87">
        <f>L526</f>
        <v>68262</v>
      </c>
      <c r="H549" s="87">
        <f>L531</f>
        <v>9383</v>
      </c>
      <c r="I549" s="87">
        <f>L536</f>
        <v>0</v>
      </c>
      <c r="J549" s="87">
        <f>L541</f>
        <v>22883</v>
      </c>
      <c r="K549" s="87">
        <f>SUM(F549:J549)</f>
        <v>439318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60648</v>
      </c>
      <c r="G550" s="87">
        <f>L527</f>
        <v>0</v>
      </c>
      <c r="H550" s="87">
        <f>L532</f>
        <v>2276</v>
      </c>
      <c r="I550" s="87">
        <f>L537</f>
        <v>0</v>
      </c>
      <c r="J550" s="87">
        <f>L542</f>
        <v>16283</v>
      </c>
      <c r="K550" s="87">
        <f>SUM(F550:J550)</f>
        <v>79207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126734</v>
      </c>
      <c r="G551" s="87">
        <f>L528</f>
        <v>0</v>
      </c>
      <c r="H551" s="87">
        <f>L533</f>
        <v>4683</v>
      </c>
      <c r="I551" s="87">
        <f>L538</f>
        <v>0</v>
      </c>
      <c r="J551" s="87">
        <f>L543</f>
        <v>51201</v>
      </c>
      <c r="K551" s="87">
        <f>SUM(F551:J551)</f>
        <v>182618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526172</v>
      </c>
      <c r="G552" s="89">
        <f t="shared" si="42"/>
        <v>68262</v>
      </c>
      <c r="H552" s="89">
        <f t="shared" si="42"/>
        <v>16342</v>
      </c>
      <c r="I552" s="89">
        <f t="shared" si="42"/>
        <v>0</v>
      </c>
      <c r="J552" s="89">
        <f t="shared" si="42"/>
        <v>90367</v>
      </c>
      <c r="K552" s="89">
        <f t="shared" si="42"/>
        <v>701143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>
        <v>63</v>
      </c>
      <c r="H562" s="18">
        <v>313</v>
      </c>
      <c r="I562" s="18"/>
      <c r="J562" s="18"/>
      <c r="K562" s="18"/>
      <c r="L562" s="88">
        <f>SUM(F562:K562)</f>
        <v>376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63</v>
      </c>
      <c r="H565" s="89">
        <f t="shared" si="44"/>
        <v>313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376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63</v>
      </c>
      <c r="H571" s="89">
        <f t="shared" si="46"/>
        <v>313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376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525766</v>
      </c>
      <c r="H575" s="18">
        <v>1351114</v>
      </c>
      <c r="I575" s="87">
        <f>SUM(F575:H575)</f>
        <v>1876880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1320</v>
      </c>
      <c r="H579" s="18">
        <v>28030</v>
      </c>
      <c r="I579" s="87">
        <f t="shared" si="47"/>
        <v>29350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24923</v>
      </c>
      <c r="H582" s="18"/>
      <c r="I582" s="87">
        <f t="shared" si="47"/>
        <v>24923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254579</v>
      </c>
      <c r="I591" s="18"/>
      <c r="J591" s="18"/>
      <c r="K591" s="104">
        <f t="shared" ref="K591:K597" si="48">SUM(H591:J591)</f>
        <v>254579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H541</f>
        <v>22883</v>
      </c>
      <c r="I592" s="18">
        <f>H542</f>
        <v>16283</v>
      </c>
      <c r="J592" s="18">
        <f>H543</f>
        <v>51201</v>
      </c>
      <c r="K592" s="104">
        <f t="shared" si="48"/>
        <v>90367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3446</v>
      </c>
      <c r="I595" s="18"/>
      <c r="J595" s="18"/>
      <c r="K595" s="104">
        <f t="shared" si="48"/>
        <v>3446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280908</v>
      </c>
      <c r="I598" s="108">
        <f>SUM(I591:I597)</f>
        <v>16283</v>
      </c>
      <c r="J598" s="108">
        <f>SUM(J591:J597)</f>
        <v>51201</v>
      </c>
      <c r="K598" s="108">
        <f>SUM(K591:K597)</f>
        <v>348392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27920</v>
      </c>
      <c r="I604" s="18"/>
      <c r="J604" s="18"/>
      <c r="K604" s="104">
        <f>SUM(H604:J604)</f>
        <v>27920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27920</v>
      </c>
      <c r="I605" s="108">
        <f>SUM(I602:I604)</f>
        <v>0</v>
      </c>
      <c r="J605" s="108">
        <f>SUM(J602:J604)</f>
        <v>0</v>
      </c>
      <c r="K605" s="108">
        <f>SUM(K602:K604)</f>
        <v>27920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>
        <v>100</v>
      </c>
      <c r="I611" s="18"/>
      <c r="J611" s="18"/>
      <c r="K611" s="18">
        <v>1348</v>
      </c>
      <c r="L611" s="88">
        <f>SUM(F611:K611)</f>
        <v>1448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100</v>
      </c>
      <c r="I614" s="108">
        <f t="shared" si="49"/>
        <v>0</v>
      </c>
      <c r="J614" s="108">
        <f t="shared" si="49"/>
        <v>0</v>
      </c>
      <c r="K614" s="108">
        <f t="shared" si="49"/>
        <v>1348</v>
      </c>
      <c r="L614" s="89">
        <f t="shared" si="49"/>
        <v>1448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1296384</v>
      </c>
      <c r="H617" s="109">
        <f>SUM(F52)</f>
        <v>1296384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8691</v>
      </c>
      <c r="H618" s="109">
        <f>SUM(G52)</f>
        <v>8691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15794</v>
      </c>
      <c r="H619" s="109">
        <f>SUM(H52)</f>
        <v>15794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173058</v>
      </c>
      <c r="H621" s="109">
        <f>SUM(J52)</f>
        <v>173058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1240404</v>
      </c>
      <c r="H622" s="109">
        <f>F476</f>
        <v>1240404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13538</v>
      </c>
      <c r="H624" s="109">
        <f>H476</f>
        <v>13538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173058</v>
      </c>
      <c r="H626" s="109">
        <f>J476</f>
        <v>173058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5174002</v>
      </c>
      <c r="H627" s="104">
        <f>SUM(F468)</f>
        <v>5174002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55498</v>
      </c>
      <c r="H628" s="104">
        <f>SUM(G468)</f>
        <v>55498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70114</v>
      </c>
      <c r="H629" s="104">
        <f>SUM(H468)</f>
        <v>70114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32570</v>
      </c>
      <c r="H631" s="104">
        <f>SUM(J468)</f>
        <v>32570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5024079</v>
      </c>
      <c r="H632" s="104">
        <f>SUM(F472)</f>
        <v>5024079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73154</v>
      </c>
      <c r="H633" s="104">
        <f>SUM(H472)</f>
        <v>73154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21857</v>
      </c>
      <c r="H634" s="104">
        <f>I369</f>
        <v>21857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55498</v>
      </c>
      <c r="H635" s="104">
        <f>SUM(G472)</f>
        <v>55498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32570</v>
      </c>
      <c r="H637" s="164">
        <f>SUM(J468)</f>
        <v>32570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168017</v>
      </c>
      <c r="H639" s="104">
        <f>SUM(F461)</f>
        <v>168017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3026</v>
      </c>
      <c r="H640" s="104">
        <f>SUM(G461)</f>
        <v>3026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2015</v>
      </c>
      <c r="H641" s="104">
        <f>SUM(H461)</f>
        <v>2015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173058</v>
      </c>
      <c r="H642" s="104">
        <f>SUM(I461)</f>
        <v>173058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32570</v>
      </c>
      <c r="H645" s="104">
        <f>G408</f>
        <v>32570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32570</v>
      </c>
      <c r="H646" s="104">
        <f>L408</f>
        <v>32570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348392</v>
      </c>
      <c r="H647" s="104">
        <f>L208+L226+L244</f>
        <v>348392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27920</v>
      </c>
      <c r="H648" s="104">
        <f>(J257+J338)-(J255+J336)</f>
        <v>27920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280908</v>
      </c>
      <c r="H649" s="104">
        <f>H598</f>
        <v>280908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16283</v>
      </c>
      <c r="H650" s="104">
        <f>I598</f>
        <v>16283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51201</v>
      </c>
      <c r="H651" s="104">
        <f>J598</f>
        <v>51201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8691</v>
      </c>
      <c r="H652" s="104">
        <f>K263+K345</f>
        <v>8691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32570</v>
      </c>
      <c r="H655" s="104">
        <f>K266+K347</f>
        <v>32570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2900522</v>
      </c>
      <c r="G660" s="19">
        <f>(L229+L309+L359)</f>
        <v>602929</v>
      </c>
      <c r="H660" s="19">
        <f>(L247+L328+L360)</f>
        <v>1532830</v>
      </c>
      <c r="I660" s="19">
        <f>SUM(F660:H660)</f>
        <v>5036281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32097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32097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280908</v>
      </c>
      <c r="G662" s="19">
        <f>(L226+L306)-(J226+J306)</f>
        <v>16283</v>
      </c>
      <c r="H662" s="19">
        <f>(L244+L325)-(J244+J325)</f>
        <v>51201</v>
      </c>
      <c r="I662" s="19">
        <f>SUM(F662:H662)</f>
        <v>348392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29368</v>
      </c>
      <c r="G663" s="199">
        <f>SUM(G575:G587)+SUM(I602:I604)+L612</f>
        <v>552009</v>
      </c>
      <c r="H663" s="199">
        <f>SUM(H575:H587)+SUM(J602:J604)+L613</f>
        <v>1379144</v>
      </c>
      <c r="I663" s="19">
        <f>SUM(F663:H663)</f>
        <v>1960521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2558149</v>
      </c>
      <c r="G664" s="19">
        <f>G660-SUM(G661:G663)</f>
        <v>34637</v>
      </c>
      <c r="H664" s="19">
        <f>H660-SUM(H661:H663)</f>
        <v>102485</v>
      </c>
      <c r="I664" s="19">
        <f>I660-SUM(I661:I663)</f>
        <v>2695271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198.98</v>
      </c>
      <c r="G665" s="248"/>
      <c r="H665" s="248"/>
      <c r="I665" s="19">
        <f>SUM(F665:H665)</f>
        <v>198.98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12856.31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13545.44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-34637</v>
      </c>
      <c r="H669" s="18">
        <v>-102485</v>
      </c>
      <c r="I669" s="19">
        <f>SUM(F669:H669)</f>
        <v>-137122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12856.31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12856.31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J37" sqref="J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Dunbarton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777397</v>
      </c>
      <c r="C9" s="229">
        <f>'DOE25'!G197+'DOE25'!G215+'DOE25'!G233+'DOE25'!G276+'DOE25'!G295+'DOE25'!G314</f>
        <v>267650</v>
      </c>
    </row>
    <row r="10" spans="1:3" x14ac:dyDescent="0.2">
      <c r="A10" t="s">
        <v>779</v>
      </c>
      <c r="B10" s="240">
        <v>731799</v>
      </c>
      <c r="C10" s="240">
        <v>251951</v>
      </c>
    </row>
    <row r="11" spans="1:3" x14ac:dyDescent="0.2">
      <c r="A11" t="s">
        <v>780</v>
      </c>
      <c r="B11" s="240">
        <v>22839</v>
      </c>
      <c r="C11" s="240">
        <v>7862</v>
      </c>
    </row>
    <row r="12" spans="1:3" x14ac:dyDescent="0.2">
      <c r="A12" t="s">
        <v>781</v>
      </c>
      <c r="B12" s="240">
        <v>22759</v>
      </c>
      <c r="C12" s="240">
        <v>7837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777397</v>
      </c>
      <c r="C13" s="231">
        <f>SUM(C10:C12)</f>
        <v>267650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245401</v>
      </c>
      <c r="C18" s="229">
        <f>'DOE25'!G198+'DOE25'!G216+'DOE25'!G234+'DOE25'!G277+'DOE25'!G296+'DOE25'!G315</f>
        <v>84433</v>
      </c>
    </row>
    <row r="19" spans="1:3" x14ac:dyDescent="0.2">
      <c r="A19" t="s">
        <v>779</v>
      </c>
      <c r="B19" s="240">
        <v>75396</v>
      </c>
      <c r="C19" s="240">
        <v>25941</v>
      </c>
    </row>
    <row r="20" spans="1:3" x14ac:dyDescent="0.2">
      <c r="A20" t="s">
        <v>780</v>
      </c>
      <c r="B20" s="240">
        <v>102305</v>
      </c>
      <c r="C20" s="240">
        <v>35199</v>
      </c>
    </row>
    <row r="21" spans="1:3" x14ac:dyDescent="0.2">
      <c r="A21" t="s">
        <v>781</v>
      </c>
      <c r="B21" s="240">
        <v>67700</v>
      </c>
      <c r="C21" s="240">
        <v>23293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245401</v>
      </c>
      <c r="C22" s="231">
        <f>SUM(C19:C21)</f>
        <v>84433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32" sqref="K3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Dunbarton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3497078</v>
      </c>
      <c r="D5" s="20">
        <f>SUM('DOE25'!L197:L200)+SUM('DOE25'!L215:L218)+SUM('DOE25'!L233:L236)-F5-G5</f>
        <v>3488679</v>
      </c>
      <c r="E5" s="243"/>
      <c r="F5" s="255">
        <f>SUM('DOE25'!J197:J200)+SUM('DOE25'!J215:J218)+SUM('DOE25'!J233:J236)</f>
        <v>6876</v>
      </c>
      <c r="G5" s="53">
        <f>SUM('DOE25'!K197:K200)+SUM('DOE25'!K215:K218)+SUM('DOE25'!K233:K236)</f>
        <v>1523</v>
      </c>
      <c r="H5" s="259"/>
    </row>
    <row r="6" spans="1:9" x14ac:dyDescent="0.2">
      <c r="A6" s="32">
        <v>2100</v>
      </c>
      <c r="B6" t="s">
        <v>801</v>
      </c>
      <c r="C6" s="245">
        <f t="shared" si="0"/>
        <v>349341</v>
      </c>
      <c r="D6" s="20">
        <f>'DOE25'!L202+'DOE25'!L220+'DOE25'!L238-F6-G6</f>
        <v>349341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101340</v>
      </c>
      <c r="D7" s="20">
        <f>'DOE25'!L203+'DOE25'!L221+'DOE25'!L239-F7-G7</f>
        <v>98766</v>
      </c>
      <c r="E7" s="243"/>
      <c r="F7" s="255">
        <f>'DOE25'!J203+'DOE25'!J221+'DOE25'!J239</f>
        <v>2574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83304</v>
      </c>
      <c r="D8" s="243"/>
      <c r="E8" s="20">
        <f>'DOE25'!L204+'DOE25'!L222+'DOE25'!L240-F8-G8-D9-D11</f>
        <v>80188</v>
      </c>
      <c r="F8" s="255">
        <f>'DOE25'!J204+'DOE25'!J222+'DOE25'!J240</f>
        <v>0</v>
      </c>
      <c r="G8" s="53">
        <f>'DOE25'!K204+'DOE25'!K222+'DOE25'!K240</f>
        <v>3116</v>
      </c>
      <c r="H8" s="259"/>
    </row>
    <row r="9" spans="1:9" x14ac:dyDescent="0.2">
      <c r="A9" s="32">
        <v>2310</v>
      </c>
      <c r="B9" t="s">
        <v>818</v>
      </c>
      <c r="C9" s="245">
        <f t="shared" si="0"/>
        <v>7346</v>
      </c>
      <c r="D9" s="244">
        <v>7346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5750</v>
      </c>
      <c r="D10" s="243"/>
      <c r="E10" s="244">
        <v>5750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69829</v>
      </c>
      <c r="D11" s="244">
        <v>69829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186049</v>
      </c>
      <c r="D12" s="20">
        <f>'DOE25'!L205+'DOE25'!L223+'DOE25'!L241-F12-G12</f>
        <v>185314</v>
      </c>
      <c r="E12" s="243"/>
      <c r="F12" s="255">
        <f>'DOE25'!J205+'DOE25'!J223+'DOE25'!J241</f>
        <v>0</v>
      </c>
      <c r="G12" s="53">
        <f>'DOE25'!K205+'DOE25'!K223+'DOE25'!K241</f>
        <v>735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792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792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264158</v>
      </c>
      <c r="D14" s="20">
        <f>'DOE25'!L207+'DOE25'!L225+'DOE25'!L243-F14-G14</f>
        <v>264158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348392</v>
      </c>
      <c r="D15" s="20">
        <f>'DOE25'!L208+'DOE25'!L226+'DOE25'!L244-F15-G15</f>
        <v>348392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75189</v>
      </c>
      <c r="D25" s="243"/>
      <c r="E25" s="243"/>
      <c r="F25" s="258"/>
      <c r="G25" s="256"/>
      <c r="H25" s="257">
        <f>'DOE25'!L260+'DOE25'!L261+'DOE25'!L341+'DOE25'!L342</f>
        <v>75189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36839</v>
      </c>
      <c r="D29" s="20">
        <f>'DOE25'!L358+'DOE25'!L359+'DOE25'!L360-'DOE25'!I367-F29-G29</f>
        <v>33200</v>
      </c>
      <c r="E29" s="243"/>
      <c r="F29" s="255">
        <f>'DOE25'!J358+'DOE25'!J359+'DOE25'!J360</f>
        <v>2995</v>
      </c>
      <c r="G29" s="53">
        <f>'DOE25'!K358+'DOE25'!K359+'DOE25'!K360</f>
        <v>644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73154</v>
      </c>
      <c r="D31" s="20">
        <f>'DOE25'!L290+'DOE25'!L309+'DOE25'!L328+'DOE25'!L333+'DOE25'!L334+'DOE25'!L335-F31-G31</f>
        <v>54516</v>
      </c>
      <c r="E31" s="243"/>
      <c r="F31" s="255">
        <f>'DOE25'!J290+'DOE25'!J309+'DOE25'!J328+'DOE25'!J333+'DOE25'!J334+'DOE25'!J335</f>
        <v>18470</v>
      </c>
      <c r="G31" s="53">
        <f>'DOE25'!K290+'DOE25'!K309+'DOE25'!K328+'DOE25'!K333+'DOE25'!K334+'DOE25'!K335</f>
        <v>168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4899541</v>
      </c>
      <c r="E33" s="246">
        <f>SUM(E5:E31)</f>
        <v>85938</v>
      </c>
      <c r="F33" s="246">
        <f>SUM(F5:F31)</f>
        <v>30915</v>
      </c>
      <c r="G33" s="246">
        <f>SUM(G5:G31)</f>
        <v>6978</v>
      </c>
      <c r="H33" s="246">
        <f>SUM(H5:H31)</f>
        <v>75189</v>
      </c>
    </row>
    <row r="35" spans="2:8" ht="12" thickBot="1" x14ac:dyDescent="0.25">
      <c r="B35" s="253" t="s">
        <v>847</v>
      </c>
      <c r="D35" s="254">
        <f>E33</f>
        <v>85938</v>
      </c>
      <c r="E35" s="249"/>
    </row>
    <row r="36" spans="2:8" ht="12" thickTop="1" x14ac:dyDescent="0.2">
      <c r="B36" t="s">
        <v>815</v>
      </c>
      <c r="D36" s="20">
        <f>D33</f>
        <v>4899541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Dunbarton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1270727</v>
      </c>
      <c r="D8" s="95">
        <f>'DOE25'!G9</f>
        <v>0</v>
      </c>
      <c r="E8" s="95">
        <f>'DOE25'!H9</f>
        <v>1700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8691</v>
      </c>
      <c r="E11" s="95">
        <f>'DOE25'!H12</f>
        <v>14094</v>
      </c>
      <c r="F11" s="95">
        <f>'DOE25'!I12</f>
        <v>0</v>
      </c>
      <c r="G11" s="95">
        <f>'DOE25'!J12</f>
        <v>173058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5541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18417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1699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1296384</v>
      </c>
      <c r="D18" s="41">
        <f>SUM(D8:D17)</f>
        <v>8691</v>
      </c>
      <c r="E18" s="41">
        <f>SUM(E8:E17)</f>
        <v>15794</v>
      </c>
      <c r="F18" s="41">
        <f>SUM(F8:F17)</f>
        <v>0</v>
      </c>
      <c r="G18" s="41">
        <f>SUM(G8:G17)</f>
        <v>173058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350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31873</v>
      </c>
      <c r="D22" s="95">
        <f>'DOE25'!G23</f>
        <v>0</v>
      </c>
      <c r="E22" s="95">
        <f>'DOE25'!H23</f>
        <v>1255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20450</v>
      </c>
      <c r="D23" s="95">
        <f>'DOE25'!G24</f>
        <v>8691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3657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651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55980</v>
      </c>
      <c r="D31" s="41">
        <f>SUM(D21:D30)</f>
        <v>8691</v>
      </c>
      <c r="E31" s="41">
        <f>SUM(E21:E30)</f>
        <v>2256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14241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1699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394012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10113</v>
      </c>
      <c r="F47" s="95">
        <f>'DOE25'!I48</f>
        <v>0</v>
      </c>
      <c r="G47" s="95">
        <f>'DOE25'!J48</f>
        <v>173058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304410</v>
      </c>
      <c r="D48" s="95">
        <f>'DOE25'!G49</f>
        <v>0</v>
      </c>
      <c r="E48" s="95">
        <f>'DOE25'!H49</f>
        <v>3425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525042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1240404</v>
      </c>
      <c r="D50" s="41">
        <f>SUM(D34:D49)</f>
        <v>0</v>
      </c>
      <c r="E50" s="41">
        <f>SUM(E34:E49)</f>
        <v>13538</v>
      </c>
      <c r="F50" s="41">
        <f>SUM(F34:F49)</f>
        <v>0</v>
      </c>
      <c r="G50" s="41">
        <f>SUM(G34:G49)</f>
        <v>173058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1296384</v>
      </c>
      <c r="D51" s="41">
        <f>D50+D31</f>
        <v>8691</v>
      </c>
      <c r="E51" s="41">
        <f>E50+E31</f>
        <v>15794</v>
      </c>
      <c r="F51" s="41">
        <f>F50+F31</f>
        <v>0</v>
      </c>
      <c r="G51" s="41">
        <f>G50+G31</f>
        <v>173058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3830226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-57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32097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246</v>
      </c>
      <c r="D61" s="95">
        <f>SUM('DOE25'!G98:G110)</f>
        <v>0</v>
      </c>
      <c r="E61" s="95">
        <f>SUM('DOE25'!H98:H110)</f>
        <v>30025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189</v>
      </c>
      <c r="D62" s="130">
        <f>SUM(D57:D61)</f>
        <v>32097</v>
      </c>
      <c r="E62" s="130">
        <f>SUM(E57:E61)</f>
        <v>30025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3830415</v>
      </c>
      <c r="D63" s="22">
        <f>D56+D62</f>
        <v>32097</v>
      </c>
      <c r="E63" s="22">
        <f>E56+E62</f>
        <v>30025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583622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692709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1276331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16672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644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16672</v>
      </c>
      <c r="D78" s="130">
        <f>SUM(D72:D77)</f>
        <v>644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1293003</v>
      </c>
      <c r="D81" s="130">
        <f>SUM(D79:D80)+D78+D70</f>
        <v>644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14170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50584</v>
      </c>
      <c r="D88" s="95">
        <f>SUM('DOE25'!G153:G161)</f>
        <v>10473</v>
      </c>
      <c r="E88" s="95">
        <f>SUM('DOE25'!H153:H161)</f>
        <v>25919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3593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50584</v>
      </c>
      <c r="D91" s="131">
        <f>SUM(D85:D90)</f>
        <v>14066</v>
      </c>
      <c r="E91" s="131">
        <f>SUM(E85:E90)</f>
        <v>40089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8691</v>
      </c>
      <c r="E96" s="95">
        <f>'DOE25'!H179</f>
        <v>0</v>
      </c>
      <c r="F96" s="95">
        <f>'DOE25'!I179</f>
        <v>0</v>
      </c>
      <c r="G96" s="95">
        <f>'DOE25'!J179</f>
        <v>32570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8691</v>
      </c>
      <c r="E103" s="86">
        <f>SUM(E93:E102)</f>
        <v>0</v>
      </c>
      <c r="F103" s="86">
        <f>SUM(F93:F102)</f>
        <v>0</v>
      </c>
      <c r="G103" s="86">
        <f>SUM(G93:G102)</f>
        <v>32570</v>
      </c>
    </row>
    <row r="104" spans="1:7" ht="12.75" thickTop="1" thickBot="1" x14ac:dyDescent="0.25">
      <c r="A104" s="33" t="s">
        <v>765</v>
      </c>
      <c r="C104" s="86">
        <f>C63+C81+C91+C103</f>
        <v>5174002</v>
      </c>
      <c r="D104" s="86">
        <f>D63+D81+D91+D103</f>
        <v>55498</v>
      </c>
      <c r="E104" s="86">
        <f>E63+E81+E91+E103</f>
        <v>70114</v>
      </c>
      <c r="F104" s="86">
        <f>F63+F81+F91+F103</f>
        <v>0</v>
      </c>
      <c r="G104" s="86">
        <f>G63+G81+G103</f>
        <v>32570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2969458</v>
      </c>
      <c r="D109" s="24" t="s">
        <v>289</v>
      </c>
      <c r="E109" s="95">
        <f>('DOE25'!L276)+('DOE25'!L295)+('DOE25'!L314)</f>
        <v>31074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526172</v>
      </c>
      <c r="D110" s="24" t="s">
        <v>289</v>
      </c>
      <c r="E110" s="95">
        <f>('DOE25'!L277)+('DOE25'!L296)+('DOE25'!L315)</f>
        <v>29711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1448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3497078</v>
      </c>
      <c r="D115" s="86">
        <f>SUM(D109:D114)</f>
        <v>0</v>
      </c>
      <c r="E115" s="86">
        <f>SUM(E109:E114)</f>
        <v>60785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349341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101340</v>
      </c>
      <c r="D119" s="24" t="s">
        <v>289</v>
      </c>
      <c r="E119" s="95">
        <f>+('DOE25'!L282)+('DOE25'!L301)+('DOE25'!L320)</f>
        <v>7901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160479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186049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792</v>
      </c>
      <c r="D122" s="24" t="s">
        <v>289</v>
      </c>
      <c r="E122" s="95">
        <f>+('DOE25'!L285)+('DOE25'!L304)+('DOE25'!L323)</f>
        <v>168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264158</v>
      </c>
      <c r="D123" s="24" t="s">
        <v>289</v>
      </c>
      <c r="E123" s="95">
        <f>+('DOE25'!L286)+('DOE25'!L305)+('DOE25'!L324)</f>
        <v>4300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348392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55498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1410551</v>
      </c>
      <c r="D128" s="86">
        <f>SUM(D118:D127)</f>
        <v>55498</v>
      </c>
      <c r="E128" s="86">
        <f>SUM(E118:E127)</f>
        <v>12369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10189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8691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32570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116450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5024079</v>
      </c>
      <c r="D145" s="86">
        <f>(D115+D128+D144)</f>
        <v>55498</v>
      </c>
      <c r="E145" s="86">
        <f>(E115+E128+E144)</f>
        <v>73154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525000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0.05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212000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212000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</v>
      </c>
    </row>
    <row r="159" spans="1:9" x14ac:dyDescent="0.2">
      <c r="A159" s="22" t="s">
        <v>35</v>
      </c>
      <c r="B159" s="137">
        <f>'DOE25'!F498</f>
        <v>147000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147000</v>
      </c>
    </row>
    <row r="160" spans="1:9" x14ac:dyDescent="0.2">
      <c r="A160" s="22" t="s">
        <v>36</v>
      </c>
      <c r="B160" s="137">
        <f>'DOE25'!F499</f>
        <v>19014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19014</v>
      </c>
    </row>
    <row r="161" spans="1:7" x14ac:dyDescent="0.2">
      <c r="A161" s="22" t="s">
        <v>37</v>
      </c>
      <c r="B161" s="137">
        <f>'DOE25'!F500</f>
        <v>166014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166014</v>
      </c>
    </row>
    <row r="162" spans="1:7" x14ac:dyDescent="0.2">
      <c r="A162" s="22" t="s">
        <v>38</v>
      </c>
      <c r="B162" s="137">
        <f>'DOE25'!F501</f>
        <v>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60000</v>
      </c>
    </row>
    <row r="163" spans="1:7" x14ac:dyDescent="0.2">
      <c r="A163" s="22" t="s">
        <v>39</v>
      </c>
      <c r="B163" s="137">
        <f>'DOE25'!F502</f>
        <v>7125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7125</v>
      </c>
    </row>
    <row r="164" spans="1:7" x14ac:dyDescent="0.2">
      <c r="A164" s="22" t="s">
        <v>246</v>
      </c>
      <c r="B164" s="137">
        <f>'DOE25'!F503</f>
        <v>67125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67125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C6" sqref="C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Dunbarton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12856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12856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3000532</v>
      </c>
      <c r="D10" s="182">
        <f>ROUND((C10/$C$28)*100,1)</f>
        <v>59.8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555883</v>
      </c>
      <c r="D11" s="182">
        <f>ROUND((C11/$C$28)*100,1)</f>
        <v>11.1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1448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349341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109241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160479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186049</v>
      </c>
      <c r="D18" s="182">
        <f t="shared" si="0"/>
        <v>3.7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960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268458</v>
      </c>
      <c r="D20" s="182">
        <f t="shared" si="0"/>
        <v>5.4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348392</v>
      </c>
      <c r="D21" s="182">
        <f t="shared" si="0"/>
        <v>6.9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10189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23401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5014373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5014373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3830226</v>
      </c>
      <c r="D35" s="182">
        <f t="shared" ref="D35:D40" si="1">ROUND((C35/$C$41)*100,1)</f>
        <v>72.8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30214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1276331</v>
      </c>
      <c r="D37" s="182">
        <f t="shared" si="1"/>
        <v>24.3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17316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104739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5258826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Dunbarton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2014-10-02T13:24:10Z</cp:lastPrinted>
  <dcterms:created xsi:type="dcterms:W3CDTF">1997-12-04T19:04:30Z</dcterms:created>
  <dcterms:modified xsi:type="dcterms:W3CDTF">2014-10-02T13:24:12Z</dcterms:modified>
</cp:coreProperties>
</file>