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435" yWindow="465" windowWidth="19425" windowHeight="9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Notes'!$A$1:$M$70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G216" i="1"/>
  <c r="G234" i="1"/>
  <c r="G233" i="1"/>
  <c r="G215" i="1"/>
  <c r="G198" i="1"/>
  <c r="G197" i="1"/>
  <c r="G243" i="1"/>
  <c r="G225" i="1"/>
  <c r="G207" i="1"/>
  <c r="I591" i="1"/>
  <c r="H591" i="1"/>
  <c r="H244" i="1"/>
  <c r="H226" i="1"/>
  <c r="H208" i="1"/>
  <c r="F197" i="1" l="1"/>
  <c r="H538" i="1"/>
  <c r="H537" i="1"/>
  <c r="H536" i="1"/>
  <c r="F613" i="1" l="1"/>
  <c r="F612" i="1"/>
  <c r="F611" i="1"/>
  <c r="H583" i="1"/>
  <c r="F557" i="1"/>
  <c r="G557" i="1"/>
  <c r="J604" i="1" l="1"/>
  <c r="I604" i="1"/>
  <c r="H604" i="1"/>
  <c r="J592" i="1"/>
  <c r="I592" i="1"/>
  <c r="H592" i="1"/>
  <c r="J528" i="1"/>
  <c r="J527" i="1"/>
  <c r="J526" i="1"/>
  <c r="I528" i="1"/>
  <c r="I527" i="1"/>
  <c r="I526" i="1"/>
  <c r="H528" i="1"/>
  <c r="H527" i="1"/>
  <c r="H526" i="1"/>
  <c r="G528" i="1"/>
  <c r="G527" i="1"/>
  <c r="G526" i="1"/>
  <c r="F528" i="1"/>
  <c r="F527" i="1"/>
  <c r="F526" i="1"/>
  <c r="I521" i="1"/>
  <c r="F523" i="1"/>
  <c r="F522" i="1"/>
  <c r="F521" i="1"/>
  <c r="G522" i="1"/>
  <c r="H522" i="1"/>
  <c r="I522" i="1"/>
  <c r="J522" i="1"/>
  <c r="G523" i="1"/>
  <c r="H523" i="1"/>
  <c r="I523" i="1"/>
  <c r="J523" i="1"/>
  <c r="G521" i="1"/>
  <c r="H521" i="1"/>
  <c r="J521" i="1"/>
  <c r="F502" i="1"/>
  <c r="F498" i="1"/>
  <c r="I507" i="1"/>
  <c r="G468" i="1" l="1"/>
  <c r="H468" i="1"/>
  <c r="H472" i="1"/>
  <c r="G472" i="1"/>
  <c r="G220" i="1"/>
  <c r="F243" i="1"/>
  <c r="F225" i="1"/>
  <c r="F207" i="1"/>
  <c r="G241" i="1"/>
  <c r="G223" i="1"/>
  <c r="G205" i="1"/>
  <c r="G239" i="1"/>
  <c r="H239" i="1"/>
  <c r="J239" i="1"/>
  <c r="J221" i="1"/>
  <c r="J203" i="1"/>
  <c r="I239" i="1"/>
  <c r="I221" i="1"/>
  <c r="I203" i="1"/>
  <c r="H221" i="1"/>
  <c r="G221" i="1"/>
  <c r="G203" i="1"/>
  <c r="F239" i="1"/>
  <c r="F221" i="1"/>
  <c r="F203" i="1"/>
  <c r="K238" i="1"/>
  <c r="I238" i="1"/>
  <c r="I220" i="1"/>
  <c r="I202" i="1"/>
  <c r="H238" i="1"/>
  <c r="H220" i="1"/>
  <c r="H202" i="1"/>
  <c r="G238" i="1"/>
  <c r="G202" i="1"/>
  <c r="F238" i="1"/>
  <c r="F220" i="1"/>
  <c r="F202" i="1"/>
  <c r="I234" i="1"/>
  <c r="I216" i="1"/>
  <c r="I198" i="1"/>
  <c r="H234" i="1"/>
  <c r="H216" i="1"/>
  <c r="H198" i="1"/>
  <c r="F234" i="1"/>
  <c r="F216" i="1"/>
  <c r="F198" i="1"/>
  <c r="H233" i="1"/>
  <c r="F233" i="1"/>
  <c r="F215" i="1"/>
  <c r="J238" i="1" l="1"/>
  <c r="J220" i="1"/>
  <c r="G236" i="1"/>
  <c r="G218" i="1"/>
  <c r="F236" i="1"/>
  <c r="F218" i="1"/>
  <c r="H241" i="1"/>
  <c r="F241" i="1"/>
  <c r="K241" i="1"/>
  <c r="K236" i="1"/>
  <c r="K233" i="1"/>
  <c r="J236" i="1"/>
  <c r="J233" i="1"/>
  <c r="I241" i="1"/>
  <c r="K223" i="1"/>
  <c r="I223" i="1"/>
  <c r="H223" i="1"/>
  <c r="F223" i="1"/>
  <c r="J218" i="1"/>
  <c r="I218" i="1"/>
  <c r="H218" i="1"/>
  <c r="H215" i="1"/>
  <c r="I197" i="1"/>
  <c r="J202" i="1"/>
  <c r="K205" i="1"/>
  <c r="J205" i="1"/>
  <c r="I205" i="1"/>
  <c r="H205" i="1"/>
  <c r="F205" i="1"/>
  <c r="J200" i="1"/>
  <c r="I200" i="1"/>
  <c r="H200" i="1"/>
  <c r="G200" i="1"/>
  <c r="F200" i="1"/>
  <c r="J198" i="1"/>
  <c r="J197" i="1"/>
  <c r="H197" i="1"/>
  <c r="F367" i="1" l="1"/>
  <c r="I358" i="1"/>
  <c r="G358" i="1"/>
  <c r="F358" i="1"/>
  <c r="I300" i="1"/>
  <c r="H286" i="1"/>
  <c r="H281" i="1"/>
  <c r="F320" i="1"/>
  <c r="F301" i="1"/>
  <c r="F282" i="1"/>
  <c r="H282" i="1"/>
  <c r="I320" i="1"/>
  <c r="H320" i="1"/>
  <c r="I301" i="1"/>
  <c r="H301" i="1"/>
  <c r="I282" i="1"/>
  <c r="F276" i="1" l="1"/>
  <c r="K344" i="1"/>
  <c r="H159" i="1"/>
  <c r="H154" i="1"/>
  <c r="H24" i="1"/>
  <c r="H28" i="1"/>
  <c r="H13" i="1"/>
  <c r="F12" i="1" l="1"/>
  <c r="F2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G662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9" i="10"/>
  <c r="L250" i="1"/>
  <c r="L332" i="1"/>
  <c r="L254" i="1"/>
  <c r="C25" i="10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H460" i="1"/>
  <c r="G461" i="1"/>
  <c r="H461" i="1"/>
  <c r="G470" i="1"/>
  <c r="H470" i="1"/>
  <c r="I470" i="1"/>
  <c r="J470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5" i="1"/>
  <c r="H628" i="1"/>
  <c r="H629" i="1"/>
  <c r="H630" i="1"/>
  <c r="H631" i="1"/>
  <c r="H633" i="1"/>
  <c r="H635" i="1"/>
  <c r="H636" i="1"/>
  <c r="H637" i="1"/>
  <c r="H638" i="1"/>
  <c r="G640" i="1"/>
  <c r="H640" i="1"/>
  <c r="G641" i="1"/>
  <c r="H641" i="1"/>
  <c r="G643" i="1"/>
  <c r="H643" i="1"/>
  <c r="G644" i="1"/>
  <c r="G645" i="1"/>
  <c r="G652" i="1"/>
  <c r="H652" i="1"/>
  <c r="G653" i="1"/>
  <c r="H653" i="1"/>
  <c r="G654" i="1"/>
  <c r="H654" i="1"/>
  <c r="H655" i="1"/>
  <c r="F192" i="1"/>
  <c r="C26" i="10"/>
  <c r="L351" i="1"/>
  <c r="A31" i="12"/>
  <c r="C70" i="2"/>
  <c r="D18" i="13"/>
  <c r="C18" i="13" s="1"/>
  <c r="D18" i="2"/>
  <c r="D17" i="13"/>
  <c r="C17" i="13" s="1"/>
  <c r="F78" i="2"/>
  <c r="F81" i="2" s="1"/>
  <c r="D50" i="2"/>
  <c r="G157" i="2"/>
  <c r="F18" i="2"/>
  <c r="G156" i="2"/>
  <c r="E103" i="2"/>
  <c r="D91" i="2"/>
  <c r="E31" i="2"/>
  <c r="D19" i="13"/>
  <c r="C19" i="13" s="1"/>
  <c r="E13" i="13"/>
  <c r="C13" i="13" s="1"/>
  <c r="E78" i="2"/>
  <c r="E81" i="2" s="1"/>
  <c r="L427" i="1"/>
  <c r="H112" i="1"/>
  <c r="J641" i="1"/>
  <c r="J571" i="1"/>
  <c r="L433" i="1"/>
  <c r="L419" i="1"/>
  <c r="I169" i="1"/>
  <c r="J643" i="1"/>
  <c r="H476" i="1"/>
  <c r="H624" i="1" s="1"/>
  <c r="I476" i="1"/>
  <c r="H625" i="1" s="1"/>
  <c r="J625" i="1" s="1"/>
  <c r="G338" i="1"/>
  <c r="G352" i="1" s="1"/>
  <c r="F169" i="1"/>
  <c r="J140" i="1"/>
  <c r="G22" i="2"/>
  <c r="C29" i="10"/>
  <c r="H140" i="1"/>
  <c r="L401" i="1"/>
  <c r="C139" i="2" s="1"/>
  <c r="F22" i="13"/>
  <c r="H25" i="13"/>
  <c r="C25" i="13" s="1"/>
  <c r="J640" i="1"/>
  <c r="F338" i="1"/>
  <c r="F352" i="1" s="1"/>
  <c r="G192" i="1"/>
  <c r="H192" i="1"/>
  <c r="C35" i="10"/>
  <c r="E16" i="13"/>
  <c r="L570" i="1"/>
  <c r="G36" i="2"/>
  <c r="C22" i="13"/>
  <c r="C16" i="13"/>
  <c r="G649" i="1" l="1"/>
  <c r="J649" i="1" s="1"/>
  <c r="A40" i="12"/>
  <c r="A13" i="12"/>
  <c r="L614" i="1"/>
  <c r="L565" i="1"/>
  <c r="L571" i="1" s="1"/>
  <c r="I571" i="1"/>
  <c r="F571" i="1"/>
  <c r="K598" i="1"/>
  <c r="G647" i="1" s="1"/>
  <c r="J651" i="1"/>
  <c r="I552" i="1"/>
  <c r="K551" i="1"/>
  <c r="L539" i="1"/>
  <c r="K545" i="1"/>
  <c r="H545" i="1"/>
  <c r="H552" i="1"/>
  <c r="L534" i="1"/>
  <c r="J545" i="1"/>
  <c r="I545" i="1"/>
  <c r="G545" i="1"/>
  <c r="K550" i="1"/>
  <c r="G552" i="1"/>
  <c r="K549" i="1"/>
  <c r="L529" i="1"/>
  <c r="L524" i="1"/>
  <c r="F552" i="1"/>
  <c r="K503" i="1"/>
  <c r="K500" i="1"/>
  <c r="J476" i="1"/>
  <c r="H626" i="1" s="1"/>
  <c r="G476" i="1"/>
  <c r="H623" i="1" s="1"/>
  <c r="J623" i="1" s="1"/>
  <c r="H33" i="13"/>
  <c r="H647" i="1"/>
  <c r="H662" i="1"/>
  <c r="I662" i="1"/>
  <c r="D15" i="13"/>
  <c r="C15" i="13" s="1"/>
  <c r="G650" i="1"/>
  <c r="J650" i="1" s="1"/>
  <c r="C124" i="2"/>
  <c r="C17" i="10"/>
  <c r="E8" i="13"/>
  <c r="C8" i="13" s="1"/>
  <c r="C119" i="2"/>
  <c r="C123" i="2"/>
  <c r="C21" i="10"/>
  <c r="C18" i="10"/>
  <c r="D7" i="13"/>
  <c r="C7" i="13" s="1"/>
  <c r="C13" i="10"/>
  <c r="L247" i="1"/>
  <c r="D14" i="13"/>
  <c r="C14" i="13" s="1"/>
  <c r="L229" i="1"/>
  <c r="C121" i="2"/>
  <c r="H257" i="1"/>
  <c r="H271" i="1" s="1"/>
  <c r="C112" i="2"/>
  <c r="K257" i="1"/>
  <c r="K271" i="1" s="1"/>
  <c r="J257" i="1"/>
  <c r="J271" i="1" s="1"/>
  <c r="I257" i="1"/>
  <c r="I271" i="1" s="1"/>
  <c r="C110" i="2"/>
  <c r="G257" i="1"/>
  <c r="G271" i="1" s="1"/>
  <c r="F257" i="1"/>
  <c r="F271" i="1" s="1"/>
  <c r="C11" i="10"/>
  <c r="D12" i="13"/>
  <c r="C12" i="13" s="1"/>
  <c r="D6" i="13"/>
  <c r="C6" i="13" s="1"/>
  <c r="L211" i="1"/>
  <c r="D5" i="13"/>
  <c r="C5" i="13" s="1"/>
  <c r="C109" i="2"/>
  <c r="D127" i="2"/>
  <c r="D128" i="2" s="1"/>
  <c r="D145" i="2" s="1"/>
  <c r="J624" i="1"/>
  <c r="J634" i="1"/>
  <c r="F661" i="1"/>
  <c r="H661" i="1"/>
  <c r="G661" i="1"/>
  <c r="L362" i="1"/>
  <c r="C27" i="10" s="1"/>
  <c r="D29" i="13"/>
  <c r="C29" i="13" s="1"/>
  <c r="L328" i="1"/>
  <c r="L309" i="1"/>
  <c r="E119" i="2"/>
  <c r="C15" i="10"/>
  <c r="H338" i="1"/>
  <c r="H352" i="1" s="1"/>
  <c r="C16" i="10"/>
  <c r="C20" i="10"/>
  <c r="K352" i="1"/>
  <c r="E118" i="2"/>
  <c r="L290" i="1"/>
  <c r="C10" i="10"/>
  <c r="E109" i="2"/>
  <c r="E115" i="2" s="1"/>
  <c r="D62" i="2"/>
  <c r="D63" i="2" s="1"/>
  <c r="H52" i="1"/>
  <c r="H619" i="1" s="1"/>
  <c r="J619" i="1" s="1"/>
  <c r="D31" i="2"/>
  <c r="J639" i="1"/>
  <c r="I446" i="1"/>
  <c r="G642" i="1" s="1"/>
  <c r="I460" i="1"/>
  <c r="I461" i="1" s="1"/>
  <c r="H642" i="1" s="1"/>
  <c r="J655" i="1"/>
  <c r="C78" i="2"/>
  <c r="C81" i="2" s="1"/>
  <c r="F112" i="1"/>
  <c r="C36" i="10" s="1"/>
  <c r="C57" i="2"/>
  <c r="C62" i="2" s="1"/>
  <c r="C63" i="2" s="1"/>
  <c r="C18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J647" i="1" l="1"/>
  <c r="K552" i="1"/>
  <c r="L545" i="1"/>
  <c r="C128" i="2"/>
  <c r="E33" i="13"/>
  <c r="D35" i="13" s="1"/>
  <c r="H660" i="1"/>
  <c r="H664" i="1" s="1"/>
  <c r="H667" i="1" s="1"/>
  <c r="G660" i="1"/>
  <c r="G664" i="1" s="1"/>
  <c r="G672" i="1" s="1"/>
  <c r="C5" i="10" s="1"/>
  <c r="L257" i="1"/>
  <c r="L271" i="1" s="1"/>
  <c r="F472" i="1" s="1"/>
  <c r="C115" i="2"/>
  <c r="H648" i="1"/>
  <c r="J648" i="1" s="1"/>
  <c r="F660" i="1"/>
  <c r="F664" i="1" s="1"/>
  <c r="F667" i="1" s="1"/>
  <c r="I661" i="1"/>
  <c r="G635" i="1"/>
  <c r="J635" i="1" s="1"/>
  <c r="E128" i="2"/>
  <c r="E145" i="2" s="1"/>
  <c r="C28" i="10"/>
  <c r="D19" i="10" s="1"/>
  <c r="D31" i="13"/>
  <c r="C31" i="13" s="1"/>
  <c r="L338" i="1"/>
  <c r="L352" i="1" s="1"/>
  <c r="G633" i="1" s="1"/>
  <c r="J633" i="1" s="1"/>
  <c r="J642" i="1"/>
  <c r="H646" i="1"/>
  <c r="C104" i="2"/>
  <c r="F193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27" i="1" l="1"/>
  <c r="F468" i="1"/>
  <c r="C145" i="2"/>
  <c r="G632" i="1"/>
  <c r="I660" i="1"/>
  <c r="I664" i="1" s="1"/>
  <c r="I672" i="1" s="1"/>
  <c r="C7" i="10" s="1"/>
  <c r="F474" i="1"/>
  <c r="H632" i="1"/>
  <c r="F672" i="1"/>
  <c r="C4" i="10" s="1"/>
  <c r="G667" i="1"/>
  <c r="H672" i="1"/>
  <c r="C6" i="10" s="1"/>
  <c r="D27" i="10"/>
  <c r="D24" i="10"/>
  <c r="D11" i="10"/>
  <c r="D17" i="10"/>
  <c r="D12" i="10"/>
  <c r="D18" i="10"/>
  <c r="D22" i="10"/>
  <c r="D13" i="10"/>
  <c r="D21" i="10"/>
  <c r="D10" i="10"/>
  <c r="D26" i="10"/>
  <c r="C30" i="10"/>
  <c r="D16" i="10"/>
  <c r="D23" i="10"/>
  <c r="D20" i="10"/>
  <c r="D15" i="10"/>
  <c r="D25" i="10"/>
  <c r="D33" i="13"/>
  <c r="D36" i="13" s="1"/>
  <c r="C41" i="10"/>
  <c r="D38" i="10" s="1"/>
  <c r="F470" i="1" l="1"/>
  <c r="F476" i="1" s="1"/>
  <c r="H622" i="1" s="1"/>
  <c r="H627" i="1"/>
  <c r="J627" i="1" s="1"/>
  <c r="J632" i="1"/>
  <c r="I667" i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<sst xmlns="http://schemas.openxmlformats.org/spreadsheetml/2006/main" count="3960" uniqueCount="918">
  <si>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</si>
  <si>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</si>
  <si>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</si>
  <si>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</si>
  <si>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</si>
  <si>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</si>
  <si>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</si>
  <si>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</si>
  <si>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</si>
  <si>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</si>
  <si>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</si>
  <si>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</si>
  <si>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</si>
  <si>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</si>
  <si>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</si>
  <si>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</si>
  <si>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</si>
  <si>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</si>
  <si>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</si>
  <si>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</si>
  <si>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</si>
  <si>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</si>
  <si>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</si>
  <si>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</si>
  <si>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</si>
  <si>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</si>
  <si>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</si>
  <si>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</si>
  <si>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</si>
  <si>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</si>
  <si>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</si>
  <si>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</si>
  <si>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</si>
  <si>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</si>
  <si>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</si>
  <si>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</si>
  <si>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</si>
  <si>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</si>
  <si>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</si>
  <si>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</si>
  <si>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</si>
  <si>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</si>
  <si>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</si>
  <si>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</si>
  <si>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</si>
  <si>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</si>
  <si>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</si>
  <si>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</si>
  <si>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</si>
  <si>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</si>
  <si>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</si>
  <si>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</si>
  <si>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</si>
  <si>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</si>
  <si>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</si>
  <si>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</si>
  <si>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</si>
  <si>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</si>
  <si>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</si>
  <si>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</si>
  <si>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</si>
  <si>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</si>
  <si>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</si>
  <si>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</si>
  <si>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</si>
  <si>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</si>
  <si>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</si>
  <si>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</si>
  <si>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</si>
  <si>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</si>
  <si>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</si>
  <si>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</si>
  <si>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</si>
  <si>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</si>
  <si>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</si>
  <si>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</si>
  <si>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</si>
  <si>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</si>
  <si>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</si>
  <si>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</si>
  <si>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</si>
  <si>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</si>
  <si>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</si>
  <si>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</si>
  <si>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</si>
  <si>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</si>
  <si>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</si>
  <si>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</si>
  <si>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</si>
  <si>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</si>
  <si>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</si>
  <si>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</si>
  <si>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</si>
  <si>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</si>
  <si>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</si>
  <si>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</si>
  <si>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</si>
  <si>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</si>
  <si>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</si>
  <si>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</si>
  <si>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</si>
  <si>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</si>
  <si>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</si>
  <si>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</si>
  <si>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</si>
  <si>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</si>
  <si>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</si>
  <si>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</si>
  <si>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</si>
  <si>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</si>
  <si>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</si>
  <si>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</si>
  <si>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</si>
  <si>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</si>
  <si>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</si>
  <si>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</si>
  <si>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</si>
  <si>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</si>
  <si>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</si>
  <si>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</si>
  <si>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</si>
  <si>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</si>
  <si>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</si>
  <si>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</si>
  <si>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</si>
  <si>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</si>
  <si>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</si>
  <si>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</si>
  <si>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</si>
  <si>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</si>
  <si>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</si>
  <si>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</si>
  <si>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</si>
  <si>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</si>
  <si>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</si>
  <si>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</si>
  <si>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</si>
  <si>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</si>
  <si>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</si>
  <si>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</si>
  <si>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</si>
  <si>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</si>
  <si>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</si>
  <si>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</si>
  <si>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</si>
  <si>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</si>
  <si>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</si>
  <si>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</si>
  <si>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</si>
  <si>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</si>
  <si>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</si>
  <si>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</si>
  <si>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</si>
  <si>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</si>
  <si>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</si>
  <si>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</si>
  <si>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</si>
  <si>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</si>
  <si>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</si>
  <si>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</si>
  <si>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</si>
  <si>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</si>
  <si>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</si>
  <si>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</si>
  <si>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</si>
  <si>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</si>
  <si>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</si>
  <si>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</si>
  <si>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</si>
  <si>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</si>
  <si>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</si>
  <si>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</si>
  <si>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</si>
  <si>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</si>
  <si>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</si>
  <si>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</si>
  <si>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</si>
  <si>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</si>
  <si>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</si>
  <si>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</si>
  <si>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</si>
  <si>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</si>
  <si>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</si>
  <si>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</si>
  <si>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</si>
  <si>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</si>
  <si>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</si>
  <si>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</si>
  <si>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</si>
  <si>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</si>
  <si>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</si>
  <si>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</si>
  <si>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</si>
  <si>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</si>
  <si>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</si>
  <si>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</si>
  <si>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</si>
  <si>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</si>
  <si>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</si>
  <si>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</si>
  <si>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</si>
  <si>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</si>
  <si>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</si>
  <si>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</si>
  <si>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</si>
  <si>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</si>
  <si>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</si>
  <si>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</si>
  <si>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</si>
  <si>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</si>
  <si>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</si>
  <si>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</si>
  <si>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</si>
  <si>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</si>
  <si>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</si>
  <si>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</si>
  <si>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</si>
  <si>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</si>
  <si>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</si>
  <si>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</si>
  <si>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</si>
  <si>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</si>
  <si>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</si>
  <si>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</si>
  <si>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</si>
  <si>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</si>
  <si>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</si>
  <si>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</si>
  <si>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</si>
  <si>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</si>
  <si>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</si>
  <si>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</si>
  <si>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</si>
  <si>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</si>
  <si>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</si>
  <si>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</si>
  <si>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</si>
  <si>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</si>
  <si>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</si>
  <si>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</si>
  <si>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</si>
  <si>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</si>
  <si>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</si>
  <si>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</si>
  <si>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</si>
  <si>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</si>
  <si>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</si>
  <si>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</si>
  <si>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</si>
  <si>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</si>
  <si>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</si>
  <si>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</si>
  <si>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</si>
  <si>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</si>
  <si>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</si>
  <si>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</si>
  <si>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</si>
  <si>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</si>
  <si>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</si>
  <si>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</si>
  <si>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</si>
  <si>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</si>
  <si>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</si>
  <si>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</si>
  <si>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</si>
  <si>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</si>
  <si>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</si>
  <si>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</si>
  <si>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</si>
  <si>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</si>
  <si>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</si>
  <si>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</si>
  <si>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</si>
  <si>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</si>
  <si>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</si>
  <si>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</si>
  <si>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</si>
  <si>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</si>
  <si>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</si>
  <si>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</si>
  <si>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</si>
  <si>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</si>
  <si>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</si>
  <si>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</si>
  <si>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</si>
  <si>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</si>
  <si>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</si>
  <si>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</si>
  <si>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</si>
  <si>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</si>
  <si>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</si>
  <si>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</si>
  <si>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</si>
  <si>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</si>
  <si>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</si>
  <si>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</si>
  <si>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</si>
  <si>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</si>
  <si>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</si>
  <si>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</si>
  <si>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</si>
  <si>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</si>
  <si>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</si>
  <si>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</si>
  <si>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</si>
  <si>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</si>
  <si>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</si>
  <si>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</si>
  <si>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</si>
  <si>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</si>
  <si>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</si>
  <si>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</si>
  <si>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</si>
  <si>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</si>
  <si>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</si>
  <si>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</si>
  <si>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</si>
  <si>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</si>
  <si>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</si>
  <si>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</si>
  <si>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</si>
  <si>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</si>
  <si>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</si>
  <si>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</si>
  <si>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</si>
  <si>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</si>
  <si>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</si>
  <si>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</si>
  <si>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</si>
  <si>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</si>
  <si>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</si>
  <si>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</si>
  <si>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</si>
  <si>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</si>
  <si>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</si>
  <si>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</si>
  <si>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</si>
  <si>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</si>
  <si>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</si>
  <si>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</si>
  <si>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</si>
  <si>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</si>
  <si>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</si>
  <si>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</si>
  <si>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</si>
  <si>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</si>
  <si>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</si>
  <si>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</si>
  <si>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</si>
  <si>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</si>
  <si>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</si>
  <si>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</si>
  <si>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</si>
  <si>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</si>
  <si>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</si>
  <si>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</si>
  <si>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</si>
  <si>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</si>
  <si>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</si>
  <si>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</si>
  <si>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</si>
  <si>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</si>
  <si>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</si>
  <si>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</si>
  <si>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</si>
  <si>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</si>
  <si>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</si>
  <si>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</si>
  <si>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</si>
  <si>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</si>
  <si>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</si>
  <si>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</si>
  <si>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</si>
  <si>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</si>
  <si>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</si>
  <si>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</si>
  <si>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</si>
  <si>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</si>
  <si>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</si>
  <si>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</si>
  <si>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</si>
  <si>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</si>
  <si>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</si>
  <si>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</si>
  <si>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</si>
  <si>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</si>
  <si>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</si>
  <si>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</si>
  <si>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</si>
  <si>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</si>
  <si>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</si>
  <si>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</si>
  <si>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</si>
  <si>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</si>
  <si>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</si>
  <si>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</si>
  <si>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</si>
  <si>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</si>
  <si>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</si>
  <si>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</si>
  <si>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</si>
  <si>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</si>
  <si>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</si>
  <si>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</si>
  <si>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</si>
  <si>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</si>
  <si>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</si>
  <si>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</si>
  <si>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</si>
  <si>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</si>
  <si>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</si>
  <si>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</si>
  <si>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</si>
  <si>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</si>
  <si>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</si>
  <si>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</si>
  <si>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</si>
  <si>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</si>
  <si>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</si>
  <si>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</si>
  <si>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</si>
  <si>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</si>
  <si>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</si>
  <si>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</si>
  <si>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</si>
  <si>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</si>
  <si>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</si>
  <si>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</si>
  <si>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</si>
  <si>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</si>
  <si>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</si>
  <si>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</si>
  <si>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</si>
  <si>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</si>
  <si>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</si>
  <si>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</si>
  <si>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</si>
  <si>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</si>
  <si>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</si>
  <si>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</si>
  <si>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</si>
  <si>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</si>
  <si>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</si>
  <si>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</si>
  <si>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</si>
  <si>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</si>
  <si>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</si>
  <si>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</si>
  <si>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</si>
  <si>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</si>
  <si>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</si>
  <si>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</si>
  <si>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</si>
  <si>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</si>
  <si>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</si>
  <si>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</si>
  <si>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</si>
  <si>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</si>
  <si>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</si>
  <si>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</si>
  <si>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</si>
  <si>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</si>
  <si>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</si>
  <si>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</si>
  <si>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</si>
  <si>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</si>
  <si>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</si>
  <si>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</si>
  <si>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</si>
  <si>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</si>
  <si>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</si>
  <si>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</si>
  <si>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</si>
  <si>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</si>
  <si>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</si>
  <si>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</si>
  <si>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</si>
  <si>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</si>
  <si>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</si>
  <si>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</si>
  <si>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</si>
  <si>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</si>
  <si>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</si>
  <si>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</si>
  <si>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</si>
  <si>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</si>
  <si>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</si>
  <si>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</si>
  <si>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</si>
  <si>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</si>
  <si>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</si>
  <si>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</si>
  <si>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</si>
  <si>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</si>
  <si>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</si>
  <si>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</si>
  <si>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</si>
  <si>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</si>
  <si>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</si>
  <si>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</si>
  <si>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</si>
  <si>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</si>
  <si>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</si>
  <si>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</si>
  <si>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</si>
  <si>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</si>
  <si>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</si>
  <si>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</si>
  <si>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</si>
  <si>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</si>
  <si>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</si>
  <si>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</si>
  <si>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</si>
  <si>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</si>
  <si>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</si>
  <si>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</si>
  <si>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</si>
  <si>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</si>
  <si>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</si>
  <si>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</si>
  <si>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</si>
  <si>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</si>
  <si>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</si>
  <si>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</si>
  <si>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</si>
  <si>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</si>
  <si>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</si>
  <si>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</si>
  <si>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</si>
  <si>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</si>
  <si>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</si>
  <si>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</si>
  <si>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</si>
  <si>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</si>
  <si>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</si>
  <si>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</si>
  <si>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</si>
  <si>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</si>
  <si>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</si>
  <si>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</si>
  <si>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</si>
  <si>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</si>
  <si>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</si>
  <si>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</si>
  <si>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</si>
  <si>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</si>
  <si>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</si>
  <si>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</si>
  <si>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</si>
  <si>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</si>
  <si>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</si>
  <si>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</si>
  <si>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</si>
  <si>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</si>
  <si>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</si>
  <si>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</si>
  <si>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</si>
  <si>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</si>
  <si>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</si>
  <si>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</si>
  <si>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</si>
  <si>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</si>
  <si>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</si>
  <si>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</si>
  <si>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</si>
  <si>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</si>
  <si>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</si>
  <si>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</si>
  <si>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</si>
  <si>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</si>
  <si>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</si>
  <si>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</si>
  <si>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</si>
  <si>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</si>
  <si>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</si>
  <si>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</si>
  <si>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</si>
  <si>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</si>
  <si>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</si>
  <si>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</si>
  <si>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</si>
  <si>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</si>
  <si>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</si>
  <si>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</si>
  <si>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</si>
  <si>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</si>
  <si>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</si>
  <si>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</si>
  <si>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</si>
  <si>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</si>
  <si>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</si>
  <si>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</si>
  <si>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</si>
  <si>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</si>
  <si>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</si>
  <si>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</si>
  <si>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</si>
  <si>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</si>
  <si>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</si>
  <si>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</si>
  <si>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</si>
  <si>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</si>
  <si>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</si>
  <si>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</si>
  <si>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</si>
  <si>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</si>
  <si>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</si>
  <si>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</si>
  <si>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</si>
  <si>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</si>
  <si>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</si>
  <si>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</si>
  <si>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</si>
  <si>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</si>
  <si>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</si>
  <si>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</si>
  <si>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</si>
  <si>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</si>
  <si>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</si>
  <si>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</si>
  <si>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</si>
  <si>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</si>
  <si>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</si>
  <si>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</si>
  <si>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</si>
  <si>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</si>
  <si>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</si>
  <si>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</si>
  <si>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</si>
  <si>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</si>
  <si>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</si>
  <si>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</si>
  <si>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</si>
  <si>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</si>
  <si>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</si>
  <si>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</si>
  <si>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</si>
  <si>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</si>
  <si>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</si>
  <si>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</si>
  <si>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</si>
  <si>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</si>
  <si>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</si>
  <si>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</si>
  <si>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</si>
  <si>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</si>
  <si>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</si>
  <si>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</si>
  <si>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</si>
  <si>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</si>
  <si>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</si>
  <si>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</si>
  <si>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</si>
  <si>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</si>
  <si>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</si>
  <si>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</si>
  <si>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</si>
  <si>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</si>
  <si>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</si>
  <si>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</si>
  <si>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</si>
  <si>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</si>
  <si>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</si>
  <si>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</si>
  <si>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</si>
  <si>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</si>
  <si>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</si>
  <si>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</si>
  <si>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</si>
  <si>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</si>
  <si>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</si>
  <si>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</si>
  <si>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</si>
  <si>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</si>
  <si>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</si>
  <si>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</si>
  <si>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</si>
  <si>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</si>
  <si>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</si>
  <si>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</si>
  <si>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</si>
  <si>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</si>
  <si>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</si>
  <si>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</si>
  <si>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</si>
  <si>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</si>
  <si>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</si>
  <si>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</si>
  <si>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</si>
  <si>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</si>
  <si>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</si>
  <si>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</si>
  <si>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</si>
  <si>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</si>
  <si>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</si>
  <si>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</si>
  <si>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</si>
  <si>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</si>
  <si>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</si>
  <si>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</si>
  <si>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</si>
  <si>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</si>
  <si>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</si>
  <si>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</si>
  <si>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</si>
  <si>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</si>
  <si>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</si>
  <si>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</si>
  <si>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</si>
  <si>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</si>
  <si>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</si>
  <si>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</si>
  <si>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</si>
  <si>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</si>
  <si>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</si>
  <si>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</si>
  <si>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</si>
  <si>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</si>
  <si>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</si>
  <si>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</si>
  <si>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</si>
  <si>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</si>
  <si>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</si>
  <si>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</si>
  <si>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</si>
  <si>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</si>
  <si>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</si>
  <si>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</si>
  <si>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</si>
  <si>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</si>
  <si>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</si>
  <si>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</si>
  <si>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</si>
  <si>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</si>
  <si>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</si>
  <si>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</si>
  <si>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</si>
  <si>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</si>
  <si>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</si>
  <si>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</si>
  <si>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</si>
  <si>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</si>
  <si>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</si>
  <si>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</si>
  <si>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</si>
  <si>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</si>
  <si>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</si>
  <si>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</si>
  <si>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</si>
  <si>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</si>
  <si>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</si>
  <si>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</si>
  <si>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</si>
  <si>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</si>
  <si>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</si>
  <si>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</si>
  <si>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</si>
  <si>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</si>
  <si>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</si>
  <si>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</si>
  <si>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</si>
  <si>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</si>
  <si>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</si>
  <si>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</si>
  <si>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</si>
  <si>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</si>
  <si>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</si>
  <si>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</si>
  <si>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</si>
  <si>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</si>
  <si>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</si>
  <si>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</si>
  <si>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</si>
  <si>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</si>
  <si>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</si>
  <si>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</si>
  <si>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</si>
  <si>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</si>
  <si>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</si>
  <si>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</si>
  <si>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</si>
  <si>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</si>
  <si>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</si>
  <si>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</si>
  <si>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</si>
  <si>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</si>
  <si>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</si>
  <si>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</si>
  <si>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</si>
  <si>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</si>
  <si>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</si>
  <si>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</si>
  <si>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</si>
  <si>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</si>
  <si>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</si>
  <si>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</si>
  <si>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</si>
  <si>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</si>
  <si>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</si>
  <si>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</si>
  <si>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</si>
  <si>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</si>
  <si>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</si>
  <si>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</si>
  <si>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</si>
  <si>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</si>
  <si>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</si>
  <si>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</si>
  <si>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</si>
  <si>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</si>
  <si>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</si>
  <si>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</si>
  <si>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</si>
  <si>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</si>
  <si>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</si>
  <si>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</si>
  <si>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</si>
  <si>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</si>
  <si>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</si>
  <si>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</si>
  <si>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</si>
  <si>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</si>
  <si>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</si>
  <si>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</si>
  <si>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</si>
  <si>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</si>
  <si>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</si>
  <si>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</si>
  <si>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</si>
  <si>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</si>
  <si>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</si>
  <si>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</si>
  <si>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</si>
  <si>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</si>
  <si>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</si>
  <si>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</si>
  <si>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</si>
  <si>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</si>
  <si>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</si>
  <si>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</si>
  <si>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</si>
  <si>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</si>
  <si>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</si>
  <si>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</si>
  <si>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</si>
  <si>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</si>
  <si>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</si>
  <si>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</si>
  <si>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</si>
  <si>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</si>
  <si>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</si>
  <si>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</si>
  <si>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</si>
  <si>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</si>
  <si>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</si>
  <si>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</si>
  <si>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</si>
  <si>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</si>
  <si>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</si>
  <si>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</si>
  <si>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</si>
  <si>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</si>
  <si>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</si>
  <si>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</si>
  <si>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</si>
  <si>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</si>
  <si>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</si>
  <si>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</si>
  <si>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</si>
  <si>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</si>
  <si>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</si>
  <si>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</si>
  <si>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</si>
  <si>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</si>
  <si>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</si>
  <si>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</si>
  <si>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</si>
  <si>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</si>
  <si>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</si>
  <si>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</si>
  <si>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</si>
  <si>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</si>
  <si>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</si>
  <si>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</si>
  <si>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</si>
  <si>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</si>
  <si>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</si>
  <si>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</si>
  <si>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</si>
  <si>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</si>
  <si>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</si>
  <si>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</si>
  <si>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</si>
  <si>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</si>
  <si>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</si>
  <si>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</si>
  <si>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</si>
  <si>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</si>
  <si>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</si>
  <si>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</si>
  <si>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</si>
  <si>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</si>
  <si>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</si>
  <si>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</si>
  <si>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</si>
  <si>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</si>
  <si>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</si>
  <si>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</si>
  <si>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</si>
  <si>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</si>
  <si>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</si>
  <si>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Epping School District</t>
  </si>
  <si>
    <t>Other federal gant - EMPG Physical Security Enhancement (Emergency Management)</t>
  </si>
  <si>
    <t>08/15/2005</t>
  </si>
  <si>
    <t>08/15/2025</t>
  </si>
  <si>
    <t>Write off prior year (2012-13) A/R double booked.</t>
  </si>
  <si>
    <t>Refund of prior year retirement following NHRS audit, and prior year E-rate reimbursement.</t>
  </si>
  <si>
    <t>Impact fees ($220,528) towards capital improvments plus $758.11 in miscellaneous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</si>
</sst>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3" fillId="0" borderId="0" xfId="0" quotePrefix="1" applyNumberFormat="1" applyFont="1" applyProtection="1">
      <protection locked="0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165</v>
      </c>
      <c r="C2" s="21">
        <v>165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1085537.31</v>
      </c>
      <c r="G9" s="18">
        <v>98425.37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50066.28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60749.66+59891.32</f>
        <v>120640.98000000001</v>
      </c>
      <c r="G12" s="18"/>
      <c r="H12" s="18">
        <v>2888.33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19900.63</v>
      </c>
      <c r="G13" s="18">
        <v>35429.39</v>
      </c>
      <c r="H13" s="18">
        <f>67151.04</f>
        <v>67151.039999999994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1423.8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24104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1250182.92</v>
      </c>
      <c r="G19" s="41">
        <f>SUM(G9:G18)</f>
        <v>135278.56</v>
      </c>
      <c r="H19" s="41">
        <f>SUM(H9:H18)</f>
        <v>70039.37</v>
      </c>
      <c r="I19" s="41">
        <f>SUM(I9:I18)</f>
        <v>0</v>
      </c>
      <c r="J19" s="41">
        <f>SUM(J9:J18)</f>
        <v>50066.28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2888.33</v>
      </c>
      <c r="G22" s="18">
        <v>60749.66</v>
      </c>
      <c r="H22" s="18">
        <v>59891.32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225550.09</v>
      </c>
      <c r="G24" s="18">
        <v>193.52</v>
      </c>
      <c r="H24" s="18">
        <f>2674.64+151.9</f>
        <v>2826.54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95955.42+303665.52+16820.64</f>
        <v>416441.58</v>
      </c>
      <c r="G28" s="18">
        <v>6360.42</v>
      </c>
      <c r="H28" s="18">
        <f>4585.08</f>
        <v>4585.08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644880</v>
      </c>
      <c r="G32" s="41">
        <f>SUM(G22:G31)</f>
        <v>67303.600000000006</v>
      </c>
      <c r="H32" s="41">
        <f>SUM(H22:H31)</f>
        <v>67302.94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67974.960000000006</v>
      </c>
      <c r="H48" s="18">
        <v>2736.43</v>
      </c>
      <c r="I48" s="18"/>
      <c r="J48" s="13">
        <f>SUM(I459)</f>
        <v>50066.28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63240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392062.92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605302.91999999993</v>
      </c>
      <c r="G51" s="41">
        <f>SUM(G35:G50)</f>
        <v>67974.960000000006</v>
      </c>
      <c r="H51" s="41">
        <f>SUM(H35:H50)</f>
        <v>2736.43</v>
      </c>
      <c r="I51" s="41">
        <f>SUM(I35:I50)</f>
        <v>0</v>
      </c>
      <c r="J51" s="41">
        <f>SUM(J35:J50)</f>
        <v>50066.28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1250182.92</v>
      </c>
      <c r="G52" s="41">
        <f>G51+G32</f>
        <v>135278.56</v>
      </c>
      <c r="H52" s="41">
        <f>H51+H32</f>
        <v>70039.37</v>
      </c>
      <c r="I52" s="41">
        <f>I51+I32</f>
        <v>0</v>
      </c>
      <c r="J52" s="41">
        <f>J51+J32</f>
        <v>50066.28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10853530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10853530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88880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2225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5013.12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96118.12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8.2100000000000009</v>
      </c>
      <c r="H96" s="18"/>
      <c r="I96" s="18"/>
      <c r="J96" s="18">
        <v>66.28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201707.92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450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50718</v>
      </c>
      <c r="G102" s="18"/>
      <c r="H102" s="18">
        <v>515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7500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7909.29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221286.11</v>
      </c>
      <c r="G110" s="18"/>
      <c r="H110" s="18">
        <v>7000.15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287863.39999999997</v>
      </c>
      <c r="G111" s="41">
        <f>SUM(G96:G110)</f>
        <v>201716.13</v>
      </c>
      <c r="H111" s="41">
        <f>SUM(H96:H110)</f>
        <v>7515.15</v>
      </c>
      <c r="I111" s="41">
        <f>SUM(I96:I110)</f>
        <v>0</v>
      </c>
      <c r="J111" s="41">
        <f>SUM(J96:J110)</f>
        <v>66.28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11237511.52</v>
      </c>
      <c r="G112" s="41">
        <f>G60+G111</f>
        <v>201716.13</v>
      </c>
      <c r="H112" s="41">
        <f>H60+H79+H94+H111</f>
        <v>7515.15</v>
      </c>
      <c r="I112" s="41">
        <f>I60+I111</f>
        <v>0</v>
      </c>
      <c r="J112" s="41">
        <f>J60+J111</f>
        <v>66.28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3374438.86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1441043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4815481.8599999994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221874.6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99926.85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10406.4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4936.28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332207.85000000003</v>
      </c>
      <c r="G136" s="41">
        <f>SUM(G123:G135)</f>
        <v>4936.28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5147689.709999999</v>
      </c>
      <c r="G140" s="41">
        <f>G121+SUM(G136:G137)</f>
        <v>4936.28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5893.13+138930.81</f>
        <v>144823.94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53391.69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161076.76999999999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180501.56+7373</f>
        <v>187874.56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223666.42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1391.71</v>
      </c>
      <c r="G161" s="18"/>
      <c r="H161" s="18">
        <v>27910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225058.13</v>
      </c>
      <c r="G162" s="41">
        <f>SUM(G150:G161)</f>
        <v>161076.76999999999</v>
      </c>
      <c r="H162" s="41">
        <f>SUM(H150:H161)</f>
        <v>414000.19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225058.13</v>
      </c>
      <c r="G169" s="41">
        <f>G147+G162+SUM(G163:G168)</f>
        <v>161076.76999999999</v>
      </c>
      <c r="H169" s="41">
        <f>H147+H162+SUM(H163:H168)</f>
        <v>414000.19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16610259.359999999</v>
      </c>
      <c r="G193" s="47">
        <f>G112+G140+G169+G192</f>
        <v>367729.18</v>
      </c>
      <c r="H193" s="47">
        <f>H112+H140+H169+H192</f>
        <v>421515.34</v>
      </c>
      <c r="I193" s="47">
        <f>I112+I140+I169+I192</f>
        <v>0</v>
      </c>
      <c r="J193" s="47">
        <f>J112+J140+J192</f>
        <v>50066.28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1385895.77+36706.75+191264+57988.34+287.5</f>
        <v>1672142.36</v>
      </c>
      <c r="G197" s="18">
        <f>319478.02+15066.57+116154+26.91+204156.36+53954.19+1967.61+18625.11+20950.03+1304.02+3517.77+3428.07-20000</f>
        <v>738628.66</v>
      </c>
      <c r="H197" s="18">
        <f>47.5</f>
        <v>47.5</v>
      </c>
      <c r="I197" s="18">
        <f>44733.12+39425.96+13478.98+3058.61+6701.01</f>
        <v>107397.68</v>
      </c>
      <c r="J197" s="18">
        <f>1486.95+2047+3867</f>
        <v>7400.95</v>
      </c>
      <c r="K197" s="18"/>
      <c r="L197" s="19">
        <f>SUM(F197:K197)</f>
        <v>2525617.1500000004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269166.68+306921.9+81892.97+75648.73+80920.75</f>
        <v>814551.03</v>
      </c>
      <c r="G198" s="18">
        <f>156236.58+3443.16+42252.57+883.15+43063.94+59507.76+1500.6+11872.83+12888.36+21056.38-20000-1000</f>
        <v>331705.32999999996</v>
      </c>
      <c r="H198" s="18">
        <f>58680.6</f>
        <v>58680.6</v>
      </c>
      <c r="I198" s="18">
        <f>4500+584.48+1350+4484+3144.36+789.61</f>
        <v>14852.45</v>
      </c>
      <c r="J198" s="18">
        <f>675+720</f>
        <v>1395</v>
      </c>
      <c r="K198" s="18"/>
      <c r="L198" s="19">
        <f>SUM(F198:K198)</f>
        <v>1221184.4099999999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150+25393.76</f>
        <v>25543.759999999998</v>
      </c>
      <c r="G200" s="18">
        <f>1668.85+657.33</f>
        <v>2326.1799999999998</v>
      </c>
      <c r="H200" s="18">
        <f>4500</f>
        <v>4500</v>
      </c>
      <c r="I200" s="18">
        <f>1378.35</f>
        <v>1378.35</v>
      </c>
      <c r="J200" s="18">
        <f>986.86</f>
        <v>986.86</v>
      </c>
      <c r="K200" s="18"/>
      <c r="L200" s="19">
        <f>SUM(F200:K200)</f>
        <v>34735.15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86084+58057+21491.14+59130+59130+87107.67</f>
        <v>370999.81</v>
      </c>
      <c r="G202" s="18">
        <f>9833.38+558.12+6543.72+12628.23+13953.63+538.92+5716.76+7920.14+30492.49+961.68+5716.73+4202.78+8821.28+7968.65+558.12+4436.42+8738.57+48048.8</f>
        <v>177638.41999999998</v>
      </c>
      <c r="H202" s="18">
        <f>125+67384.89</f>
        <v>67509.89</v>
      </c>
      <c r="I202" s="18">
        <f>1543.06+72.2+1285+3509.72+1167.58+542.83+1103.06+1350+3611.71</f>
        <v>14185.16</v>
      </c>
      <c r="J202" s="18">
        <f>153.99+735.65+1147.71+639.1</f>
        <v>2676.45</v>
      </c>
      <c r="K202" s="18">
        <v>1564.2</v>
      </c>
      <c r="L202" s="19">
        <f t="shared" ref="L202:L208" si="0">SUM(F202:K202)</f>
        <v>634573.92999999993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2080+675+57912+325+86410.88</f>
        <v>147402.88</v>
      </c>
      <c r="G203" s="18">
        <f>202.62+59.42+8333.38+558.12+4320.4+8361.96+63220.22</f>
        <v>85056.12</v>
      </c>
      <c r="H203" s="18">
        <v>19367.72</v>
      </c>
      <c r="I203" s="18">
        <f>3145+3217.13+1898.87+497+3519+30810.65</f>
        <v>43087.65</v>
      </c>
      <c r="J203" s="18">
        <f>659.62+56400.04</f>
        <v>57059.66</v>
      </c>
      <c r="K203" s="18">
        <v>55</v>
      </c>
      <c r="L203" s="19">
        <f t="shared" si="0"/>
        <v>352029.03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230868.76</v>
      </c>
      <c r="G204" s="18">
        <v>103206.87</v>
      </c>
      <c r="H204" s="18">
        <v>35775.01</v>
      </c>
      <c r="I204" s="18">
        <v>8080.35</v>
      </c>
      <c r="J204" s="18"/>
      <c r="K204" s="18">
        <v>4599.32</v>
      </c>
      <c r="L204" s="19">
        <f t="shared" si="0"/>
        <v>382530.31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94808+63412+20250+83774.2</f>
        <v>262244.2</v>
      </c>
      <c r="G205" s="18">
        <f>81882.23+2023.93+19034.75+9044.27+23573.75+740.87+843.97+1989.75</f>
        <v>139133.51999999999</v>
      </c>
      <c r="H205" s="18">
        <f>16899.4+3437.7+2934.12+745.36</f>
        <v>24016.58</v>
      </c>
      <c r="I205" s="18">
        <f>4589.51</f>
        <v>4589.51</v>
      </c>
      <c r="J205" s="18">
        <f>379.05</f>
        <v>379.05</v>
      </c>
      <c r="K205" s="18">
        <f>1727</f>
        <v>1727</v>
      </c>
      <c r="L205" s="19">
        <f t="shared" si="0"/>
        <v>432089.86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128101.18+80308.01</f>
        <v>208409.19</v>
      </c>
      <c r="G207" s="18">
        <f>51944+2213.28+9115.62+13671.7+37622.68-20000</f>
        <v>94567.28</v>
      </c>
      <c r="H207" s="18">
        <v>145342.99</v>
      </c>
      <c r="I207" s="18">
        <v>273904.56</v>
      </c>
      <c r="J207" s="18">
        <v>2675.36</v>
      </c>
      <c r="K207" s="18"/>
      <c r="L207" s="19">
        <f t="shared" si="0"/>
        <v>724899.38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34472+225266.09</f>
        <v>259738.09</v>
      </c>
      <c r="I208" s="18"/>
      <c r="J208" s="18"/>
      <c r="K208" s="18"/>
      <c r="L208" s="19">
        <f t="shared" si="0"/>
        <v>259738.09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3732161.9899999998</v>
      </c>
      <c r="G211" s="41">
        <f t="shared" si="1"/>
        <v>1672262.3800000001</v>
      </c>
      <c r="H211" s="41">
        <f t="shared" si="1"/>
        <v>614978.38</v>
      </c>
      <c r="I211" s="41">
        <f t="shared" si="1"/>
        <v>467475.70999999996</v>
      </c>
      <c r="J211" s="41">
        <f t="shared" si="1"/>
        <v>72573.330000000016</v>
      </c>
      <c r="K211" s="41">
        <f t="shared" si="1"/>
        <v>7945.5199999999995</v>
      </c>
      <c r="L211" s="41">
        <f t="shared" si="1"/>
        <v>6567397.3100000005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958136.26+15587.5+18575+2200</f>
        <v>994498.76</v>
      </c>
      <c r="G215" s="18">
        <f>216136.04+9799.32+71294.28+126386.9+1492.71+553.3+1492.6+1454.54-33000</f>
        <v>395609.69</v>
      </c>
      <c r="H215" s="18">
        <f>250+800+462.16+2315.22+205+127.5</f>
        <v>4159.88</v>
      </c>
      <c r="I215" s="18">
        <v>29679.360000000001</v>
      </c>
      <c r="J215" s="18">
        <v>9045.9500000000007</v>
      </c>
      <c r="K215" s="18"/>
      <c r="L215" s="19">
        <f>SUM(F215:K215)</f>
        <v>1432993.64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135457.7+178823.25+41534.86</f>
        <v>355815.81</v>
      </c>
      <c r="G216" s="18">
        <f>94591.2+2032.47+28490.71+17781.99+9854.31-26124.51-1000</f>
        <v>125626.17</v>
      </c>
      <c r="H216" s="18">
        <f>66400</f>
        <v>66400</v>
      </c>
      <c r="I216" s="18">
        <f>2178.11+464.6+180+8.68+376.45+263.2</f>
        <v>3471.0399999999995</v>
      </c>
      <c r="J216" s="18">
        <v>52.98</v>
      </c>
      <c r="K216" s="18"/>
      <c r="L216" s="19">
        <f>SUM(F216:K216)</f>
        <v>551366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13161+11194.52+6000+22186.24</f>
        <v>52541.760000000002</v>
      </c>
      <c r="G218" s="18">
        <f>1025.92+2163.68+58.41+707.86+771.61+3994.29</f>
        <v>8721.77</v>
      </c>
      <c r="H218" s="18">
        <f>7125+490.45+1050+3378.76</f>
        <v>12044.210000000001</v>
      </c>
      <c r="I218" s="18">
        <f>2435.52+510.18</f>
        <v>2945.7</v>
      </c>
      <c r="J218" s="18">
        <f>1173.9+6132.46</f>
        <v>7306.3600000000006</v>
      </c>
      <c r="K218" s="18">
        <v>865</v>
      </c>
      <c r="L218" s="19">
        <f>SUM(F218:K218)</f>
        <v>84424.8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24258+67292.63+36960.03</f>
        <v>128510.66</v>
      </c>
      <c r="G220" s="18">
        <f>1500+1970.54+7399.9+25390.07+20387.24-0.01</f>
        <v>56647.74</v>
      </c>
      <c r="H220" s="18">
        <f>107+25395.78</f>
        <v>25502.78</v>
      </c>
      <c r="I220" s="18">
        <f>2247.22+199+3371.22+1532.46</f>
        <v>7349.9</v>
      </c>
      <c r="J220" s="18">
        <f>426.89</f>
        <v>426.89</v>
      </c>
      <c r="K220" s="18">
        <v>663.7</v>
      </c>
      <c r="L220" s="19">
        <f t="shared" ref="L220:L226" si="2">SUM(F220:K220)</f>
        <v>219101.67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12307.28+34563.93</f>
        <v>46871.21</v>
      </c>
      <c r="G221" s="18">
        <f>6622.09+52319.04</f>
        <v>58941.130000000005</v>
      </c>
      <c r="H221" s="18">
        <f>365.67+7187.99</f>
        <v>7553.66</v>
      </c>
      <c r="I221" s="18">
        <f>448.49+2995.42+3820.49+237.34+1700+13073.05</f>
        <v>22274.79</v>
      </c>
      <c r="J221" s="18">
        <f>1000+23930.69</f>
        <v>24930.69</v>
      </c>
      <c r="K221" s="18">
        <v>25</v>
      </c>
      <c r="L221" s="19">
        <f t="shared" si="2"/>
        <v>160596.48000000001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98246.11</v>
      </c>
      <c r="G222" s="18">
        <v>43790.96</v>
      </c>
      <c r="H222" s="18">
        <v>15179.44</v>
      </c>
      <c r="I222" s="18">
        <v>3428.52</v>
      </c>
      <c r="J222" s="18"/>
      <c r="K222" s="18">
        <v>1951.51</v>
      </c>
      <c r="L222" s="19">
        <f t="shared" si="2"/>
        <v>162596.54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46693+32736.52+11250+58339.6</f>
        <v>149019.12</v>
      </c>
      <c r="G223" s="18">
        <f>21274.93+1282.57+11164.09+6228.75+11108.06+140+34.87+2049.75</f>
        <v>53283.02</v>
      </c>
      <c r="H223" s="18">
        <f>7524.82+3445.1+2000+187.32</f>
        <v>13157.24</v>
      </c>
      <c r="I223" s="18">
        <f>3500</f>
        <v>3500</v>
      </c>
      <c r="J223" s="18"/>
      <c r="K223" s="18">
        <f>3188.97</f>
        <v>3188.97</v>
      </c>
      <c r="L223" s="19">
        <f t="shared" si="2"/>
        <v>222148.34999999998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77503.04+34074.91</f>
        <v>111577.95</v>
      </c>
      <c r="G225" s="18">
        <f>581.78+40411.19+15963.41-3000-500</f>
        <v>53456.380000000005</v>
      </c>
      <c r="H225" s="18">
        <v>61669.43</v>
      </c>
      <c r="I225" s="18">
        <v>116218.47</v>
      </c>
      <c r="J225" s="18">
        <v>1135.1600000000001</v>
      </c>
      <c r="K225" s="18"/>
      <c r="L225" s="19">
        <f t="shared" si="2"/>
        <v>344057.38999999996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12901.82+80285.48</f>
        <v>93187.299999999988</v>
      </c>
      <c r="I226" s="18"/>
      <c r="J226" s="18"/>
      <c r="K226" s="18"/>
      <c r="L226" s="19">
        <f t="shared" si="2"/>
        <v>93187.299999999988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1937081.3800000001</v>
      </c>
      <c r="G229" s="41">
        <f>SUM(G215:G228)</f>
        <v>796076.86</v>
      </c>
      <c r="H229" s="41">
        <f>SUM(H215:H228)</f>
        <v>298853.94</v>
      </c>
      <c r="I229" s="41">
        <f>SUM(I215:I228)</f>
        <v>188867.78000000003</v>
      </c>
      <c r="J229" s="41">
        <f>SUM(J215:J228)</f>
        <v>42898.03</v>
      </c>
      <c r="K229" s="41">
        <f t="shared" si="3"/>
        <v>6694.18</v>
      </c>
      <c r="L229" s="41">
        <f t="shared" si="3"/>
        <v>3270472.17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1185739.9+650</f>
        <v>1186389.8999999999</v>
      </c>
      <c r="G233" s="18">
        <f>600474.31+1881+740.33+1997.14+1946.21-26000-1600</f>
        <v>579438.99</v>
      </c>
      <c r="H233" s="18">
        <f>6962.59+1425</f>
        <v>8387.59</v>
      </c>
      <c r="I233" s="18">
        <v>60200.53</v>
      </c>
      <c r="J233" s="18">
        <f>9546.78</f>
        <v>9546.7800000000007</v>
      </c>
      <c r="K233" s="18">
        <f>80</f>
        <v>80</v>
      </c>
      <c r="L233" s="19">
        <f>SUM(F233:K233)</f>
        <v>1844043.79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345863.92+40385.54</f>
        <v>386249.45999999996</v>
      </c>
      <c r="G234" s="18">
        <f>128191.64+11131.09-20000-1000</f>
        <v>118322.73000000001</v>
      </c>
      <c r="H234" s="18">
        <f>38697.84+651924.26</f>
        <v>690622.1</v>
      </c>
      <c r="I234" s="18">
        <f>5189.57+263.2</f>
        <v>5452.7699999999995</v>
      </c>
      <c r="J234" s="18">
        <v>234.01</v>
      </c>
      <c r="K234" s="18"/>
      <c r="L234" s="19">
        <f>SUM(F234:K234)</f>
        <v>1200881.07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90620</v>
      </c>
      <c r="I235" s="18"/>
      <c r="J235" s="18"/>
      <c r="K235" s="18"/>
      <c r="L235" s="19">
        <f>SUM(F235:K235)</f>
        <v>90620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96315.75+29650.76</f>
        <v>125966.51</v>
      </c>
      <c r="G236" s="18">
        <f>12051.95+5338.16</f>
        <v>17390.11</v>
      </c>
      <c r="H236" s="18">
        <v>38308.080000000002</v>
      </c>
      <c r="I236" s="18">
        <v>7809.5</v>
      </c>
      <c r="J236" s="18">
        <f>32647.51</f>
        <v>32647.51</v>
      </c>
      <c r="K236" s="18">
        <f>6105.5</f>
        <v>6105.5</v>
      </c>
      <c r="L236" s="19">
        <f>SUM(F236:K236)</f>
        <v>228227.21000000002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101149.93+89933.14+49453.56</f>
        <v>240536.63</v>
      </c>
      <c r="G238" s="18">
        <f>70162.22+33932.52+27278.7</f>
        <v>131373.44</v>
      </c>
      <c r="H238" s="18">
        <f>5150+143+34267.83</f>
        <v>39560.83</v>
      </c>
      <c r="I238" s="18">
        <f>3669.34+4505.47+2050.47</f>
        <v>10225.280000000001</v>
      </c>
      <c r="J238" s="18">
        <f>570.51</f>
        <v>570.51</v>
      </c>
      <c r="K238" s="18">
        <f>400+888.04</f>
        <v>1288.04</v>
      </c>
      <c r="L238" s="19">
        <f t="shared" ref="L238:L244" si="4">SUM(F238:K238)</f>
        <v>423554.73000000004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24456.16+16448.04+44883.79</f>
        <v>85787.989999999991</v>
      </c>
      <c r="G239" s="18">
        <f>4399.63+8850.08+53185.14-0.01</f>
        <v>66434.840000000011</v>
      </c>
      <c r="H239" s="18">
        <f>488.7+9605.68-0.01</f>
        <v>10094.370000000001</v>
      </c>
      <c r="I239" s="18">
        <f>11080.4+17492.1</f>
        <v>28572.5</v>
      </c>
      <c r="J239" s="18">
        <f>1900+32019.94+0.01</f>
        <v>33919.950000000004</v>
      </c>
      <c r="K239" s="18">
        <v>55</v>
      </c>
      <c r="L239" s="19">
        <f t="shared" si="4"/>
        <v>224864.65000000002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131287.03</v>
      </c>
      <c r="G240" s="18">
        <v>58593.55</v>
      </c>
      <c r="H240" s="18">
        <v>20310.509999999998</v>
      </c>
      <c r="I240" s="18">
        <v>4587.45</v>
      </c>
      <c r="J240" s="18"/>
      <c r="K240" s="18">
        <v>2611.17</v>
      </c>
      <c r="L240" s="19">
        <f t="shared" si="4"/>
        <v>217389.71000000005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165742.89</f>
        <v>165742.89000000001</v>
      </c>
      <c r="G241" s="18">
        <f>55498.38+46.61+1680</f>
        <v>57224.99</v>
      </c>
      <c r="H241" s="18">
        <f>21257.47</f>
        <v>21257.47</v>
      </c>
      <c r="I241" s="18">
        <f>3825</f>
        <v>3825</v>
      </c>
      <c r="J241" s="18"/>
      <c r="K241" s="18">
        <f>13089</f>
        <v>13089</v>
      </c>
      <c r="L241" s="19">
        <f t="shared" si="4"/>
        <v>261139.35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103578.82+45593.19</f>
        <v>149172.01</v>
      </c>
      <c r="G243" s="18">
        <f>54007.48+21359.49-3000-500</f>
        <v>71866.97</v>
      </c>
      <c r="H243" s="18">
        <v>82515.44</v>
      </c>
      <c r="I243" s="18">
        <v>155503.57999999999</v>
      </c>
      <c r="J243" s="18">
        <v>1518.88</v>
      </c>
      <c r="K243" s="18"/>
      <c r="L243" s="19">
        <f t="shared" si="4"/>
        <v>460576.88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82063.66+201277.05</f>
        <v>283340.70999999996</v>
      </c>
      <c r="I244" s="18"/>
      <c r="J244" s="18"/>
      <c r="K244" s="18"/>
      <c r="L244" s="19">
        <f t="shared" si="4"/>
        <v>283340.70999999996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2471132.42</v>
      </c>
      <c r="G247" s="41">
        <f t="shared" si="5"/>
        <v>1100645.6200000001</v>
      </c>
      <c r="H247" s="41">
        <f t="shared" si="5"/>
        <v>1285017.0999999999</v>
      </c>
      <c r="I247" s="41">
        <f t="shared" si="5"/>
        <v>276176.61</v>
      </c>
      <c r="J247" s="41">
        <f t="shared" si="5"/>
        <v>78437.640000000014</v>
      </c>
      <c r="K247" s="41">
        <f t="shared" si="5"/>
        <v>23228.71</v>
      </c>
      <c r="L247" s="41">
        <f t="shared" si="5"/>
        <v>5234638.0999999996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181246</v>
      </c>
      <c r="K255" s="18"/>
      <c r="L255" s="19">
        <f t="shared" si="6"/>
        <v>181246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181246</v>
      </c>
      <c r="K256" s="41">
        <f t="shared" si="7"/>
        <v>0</v>
      </c>
      <c r="L256" s="41">
        <f>SUM(F256:K256)</f>
        <v>181246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8140375.79</v>
      </c>
      <c r="G257" s="41">
        <f t="shared" si="8"/>
        <v>3568984.8600000003</v>
      </c>
      <c r="H257" s="41">
        <f t="shared" si="8"/>
        <v>2198849.42</v>
      </c>
      <c r="I257" s="41">
        <f t="shared" si="8"/>
        <v>932520.1</v>
      </c>
      <c r="J257" s="41">
        <f t="shared" si="8"/>
        <v>375155</v>
      </c>
      <c r="K257" s="41">
        <f t="shared" si="8"/>
        <v>37868.410000000003</v>
      </c>
      <c r="L257" s="41">
        <f t="shared" si="8"/>
        <v>15253753.58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520000</v>
      </c>
      <c r="L260" s="19">
        <f>SUM(F260:K260)</f>
        <v>520000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390838.26</v>
      </c>
      <c r="L261" s="19">
        <f>SUM(F261:K261)</f>
        <v>390838.26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960838.26</v>
      </c>
      <c r="L270" s="41">
        <f t="shared" si="9"/>
        <v>960838.26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8140375.79</v>
      </c>
      <c r="G271" s="42">
        <f t="shared" si="11"/>
        <v>3568984.8600000003</v>
      </c>
      <c r="H271" s="42">
        <f t="shared" si="11"/>
        <v>2198849.42</v>
      </c>
      <c r="I271" s="42">
        <f t="shared" si="11"/>
        <v>932520.1</v>
      </c>
      <c r="J271" s="42">
        <f t="shared" si="11"/>
        <v>375155</v>
      </c>
      <c r="K271" s="42">
        <f t="shared" si="11"/>
        <v>998706.67</v>
      </c>
      <c r="L271" s="42">
        <f t="shared" si="11"/>
        <v>16214591.84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5731.63+124305</f>
        <v>130036.63</v>
      </c>
      <c r="G276" s="18"/>
      <c r="H276" s="18"/>
      <c r="I276" s="18">
        <v>497.23</v>
      </c>
      <c r="J276" s="18"/>
      <c r="K276" s="18"/>
      <c r="L276" s="19">
        <f>SUM(F276:K276)</f>
        <v>130533.86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6819.03</v>
      </c>
      <c r="G277" s="18"/>
      <c r="H277" s="18"/>
      <c r="I277" s="18">
        <v>1704.12</v>
      </c>
      <c r="J277" s="18"/>
      <c r="K277" s="18"/>
      <c r="L277" s="19">
        <f>SUM(F277:K277)</f>
        <v>8523.15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19756</v>
      </c>
      <c r="G281" s="18"/>
      <c r="H281" s="18">
        <f>11653+199</f>
        <v>11852</v>
      </c>
      <c r="I281" s="18">
        <v>1616.91</v>
      </c>
      <c r="J281" s="18"/>
      <c r="K281" s="18"/>
      <c r="L281" s="19">
        <f t="shared" ref="L281:L287" si="12">SUM(F281:K281)</f>
        <v>33224.910000000003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4042.65+3357.84+74.36+179.4</f>
        <v>7654.2499999999991</v>
      </c>
      <c r="G282" s="18">
        <v>200</v>
      </c>
      <c r="H282" s="18">
        <f>5600+250+34421.5+8221+708.98+348.15</f>
        <v>49549.630000000005</v>
      </c>
      <c r="I282" s="18">
        <f>5438+3964</f>
        <v>9402</v>
      </c>
      <c r="J282" s="18"/>
      <c r="K282" s="18"/>
      <c r="L282" s="19">
        <f t="shared" si="12"/>
        <v>66805.88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2500</v>
      </c>
      <c r="G283" s="18"/>
      <c r="H283" s="18"/>
      <c r="I283" s="18"/>
      <c r="J283" s="18"/>
      <c r="K283" s="18"/>
      <c r="L283" s="19">
        <f t="shared" si="12"/>
        <v>2500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f>2325+7489.5+1325.6</f>
        <v>11140.1</v>
      </c>
      <c r="I286" s="18"/>
      <c r="J286" s="18"/>
      <c r="K286" s="18"/>
      <c r="L286" s="19">
        <f t="shared" si="12"/>
        <v>11140.1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166765.91</v>
      </c>
      <c r="G290" s="42">
        <f t="shared" si="13"/>
        <v>200</v>
      </c>
      <c r="H290" s="42">
        <f t="shared" si="13"/>
        <v>72541.73000000001</v>
      </c>
      <c r="I290" s="42">
        <f t="shared" si="13"/>
        <v>13220.26</v>
      </c>
      <c r="J290" s="42">
        <f t="shared" si="13"/>
        <v>0</v>
      </c>
      <c r="K290" s="42">
        <f t="shared" si="13"/>
        <v>0</v>
      </c>
      <c r="L290" s="41">
        <f t="shared" si="13"/>
        <v>252727.90000000002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68609.119999999995</v>
      </c>
      <c r="G296" s="18"/>
      <c r="H296" s="18"/>
      <c r="I296" s="18"/>
      <c r="J296" s="18"/>
      <c r="K296" s="18"/>
      <c r="L296" s="19">
        <f>SUM(F296:K296)</f>
        <v>68609.119999999995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1457</v>
      </c>
      <c r="I300" s="18">
        <f>50</f>
        <v>50</v>
      </c>
      <c r="J300" s="18"/>
      <c r="K300" s="18">
        <v>540.82000000000005</v>
      </c>
      <c r="L300" s="19">
        <f t="shared" ref="L300:L306" si="14">SUM(F300:K300)</f>
        <v>2047.8200000000002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3360.59+657.59+3.85+223.08</f>
        <v>4245.1100000000006</v>
      </c>
      <c r="G301" s="18"/>
      <c r="H301" s="18">
        <f>8269+4110.35+1239.71+1120</f>
        <v>14739.060000000001</v>
      </c>
      <c r="I301" s="18">
        <f>2719.3+1982.5</f>
        <v>4701.8</v>
      </c>
      <c r="J301" s="18"/>
      <c r="K301" s="18"/>
      <c r="L301" s="19">
        <f t="shared" si="14"/>
        <v>23685.97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3744.75</v>
      </c>
      <c r="I305" s="18"/>
      <c r="J305" s="18"/>
      <c r="K305" s="18"/>
      <c r="L305" s="19">
        <f t="shared" si="14"/>
        <v>3744.75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72854.23</v>
      </c>
      <c r="G309" s="42">
        <f t="shared" si="15"/>
        <v>0</v>
      </c>
      <c r="H309" s="42">
        <f t="shared" si="15"/>
        <v>19940.810000000001</v>
      </c>
      <c r="I309" s="42">
        <f t="shared" si="15"/>
        <v>4751.8</v>
      </c>
      <c r="J309" s="42">
        <f t="shared" si="15"/>
        <v>0</v>
      </c>
      <c r="K309" s="42">
        <f t="shared" si="15"/>
        <v>540.82000000000005</v>
      </c>
      <c r="L309" s="41">
        <f t="shared" si="15"/>
        <v>98087.66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17249</v>
      </c>
      <c r="G315" s="18"/>
      <c r="H315" s="18"/>
      <c r="I315" s="18"/>
      <c r="J315" s="18"/>
      <c r="K315" s="18"/>
      <c r="L315" s="19">
        <f>SUM(F315:K315)</f>
        <v>17249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1500</v>
      </c>
      <c r="G319" s="18"/>
      <c r="H319" s="18">
        <v>1457</v>
      </c>
      <c r="I319" s="18"/>
      <c r="J319" s="18"/>
      <c r="K319" s="18"/>
      <c r="L319" s="19">
        <f t="shared" ref="L319:L325" si="16">SUM(F319:K319)</f>
        <v>2957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1354.74+313.26+159.6+225</f>
        <v>2052.6</v>
      </c>
      <c r="G320" s="18"/>
      <c r="H320" s="18">
        <f>8500+4110.35+328.59+710</f>
        <v>13648.94</v>
      </c>
      <c r="I320" s="18">
        <f>2719.07+1982.47</f>
        <v>4701.54</v>
      </c>
      <c r="J320" s="18"/>
      <c r="K320" s="18"/>
      <c r="L320" s="19">
        <f t="shared" si="16"/>
        <v>20403.080000000002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3744.75</v>
      </c>
      <c r="I324" s="18"/>
      <c r="J324" s="18">
        <v>10606</v>
      </c>
      <c r="K324" s="18"/>
      <c r="L324" s="19">
        <f t="shared" si="16"/>
        <v>14350.75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20801.599999999999</v>
      </c>
      <c r="G328" s="42">
        <f t="shared" si="17"/>
        <v>0</v>
      </c>
      <c r="H328" s="42">
        <f t="shared" si="17"/>
        <v>18850.690000000002</v>
      </c>
      <c r="I328" s="42">
        <f t="shared" si="17"/>
        <v>4701.54</v>
      </c>
      <c r="J328" s="42">
        <f t="shared" si="17"/>
        <v>10606</v>
      </c>
      <c r="K328" s="42">
        <f t="shared" si="17"/>
        <v>0</v>
      </c>
      <c r="L328" s="41">
        <f t="shared" si="17"/>
        <v>54959.83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260421.74000000002</v>
      </c>
      <c r="G338" s="41">
        <f t="shared" si="20"/>
        <v>200</v>
      </c>
      <c r="H338" s="41">
        <f t="shared" si="20"/>
        <v>111333.23000000001</v>
      </c>
      <c r="I338" s="41">
        <f t="shared" si="20"/>
        <v>22673.600000000002</v>
      </c>
      <c r="J338" s="41">
        <f t="shared" si="20"/>
        <v>10606</v>
      </c>
      <c r="K338" s="41">
        <f t="shared" si="20"/>
        <v>540.82000000000005</v>
      </c>
      <c r="L338" s="41">
        <f t="shared" si="20"/>
        <v>405775.39000000007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4573.17+2201.19+7331.3+303.97</f>
        <v>14409.63</v>
      </c>
      <c r="L344" s="19">
        <f t="shared" ref="L344:L350" si="21">SUM(F344:K344)</f>
        <v>14409.63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14409.63</v>
      </c>
      <c r="L351" s="41">
        <f>SUM(L341:L350)</f>
        <v>14409.63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260421.74000000002</v>
      </c>
      <c r="G352" s="41">
        <f>G338</f>
        <v>200</v>
      </c>
      <c r="H352" s="41">
        <f>H338</f>
        <v>111333.23000000001</v>
      </c>
      <c r="I352" s="41">
        <f>I338</f>
        <v>22673.600000000002</v>
      </c>
      <c r="J352" s="41">
        <f>J338</f>
        <v>10606</v>
      </c>
      <c r="K352" s="47">
        <f>K338+K351</f>
        <v>14950.449999999999</v>
      </c>
      <c r="L352" s="41">
        <f>L338+L351</f>
        <v>420185.02000000008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49965.88+2661.39</f>
        <v>52627.27</v>
      </c>
      <c r="G358" s="18">
        <f>555+277.5+4248.68+90.16+1037.18+566.97</f>
        <v>6775.4900000000007</v>
      </c>
      <c r="H358" s="18">
        <v>1284.4100000000001</v>
      </c>
      <c r="I358" s="18">
        <f>4505.55+1083.73+49097.43+9827.02+1323</f>
        <v>65836.73</v>
      </c>
      <c r="J358" s="18">
        <v>7559.41</v>
      </c>
      <c r="K358" s="18">
        <v>267.5</v>
      </c>
      <c r="L358" s="13">
        <f>SUM(F358:K358)</f>
        <v>134350.81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42393.11</v>
      </c>
      <c r="G359" s="18">
        <v>10907.23</v>
      </c>
      <c r="H359" s="18"/>
      <c r="I359" s="18">
        <v>49714.76</v>
      </c>
      <c r="J359" s="18">
        <v>2086.9299999999998</v>
      </c>
      <c r="K359" s="18">
        <v>114.49</v>
      </c>
      <c r="L359" s="19">
        <f>SUM(F359:K359)</f>
        <v>105216.52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56656.22</v>
      </c>
      <c r="G360" s="18">
        <v>14576.96</v>
      </c>
      <c r="H360" s="18"/>
      <c r="I360" s="18">
        <v>66441.22</v>
      </c>
      <c r="J360" s="18">
        <v>2789.07</v>
      </c>
      <c r="K360" s="18">
        <v>153.01</v>
      </c>
      <c r="L360" s="19">
        <f>SUM(F360:K360)</f>
        <v>140616.48000000001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151676.6</v>
      </c>
      <c r="G362" s="47">
        <f t="shared" si="22"/>
        <v>32259.68</v>
      </c>
      <c r="H362" s="47">
        <f t="shared" si="22"/>
        <v>1284.4100000000001</v>
      </c>
      <c r="I362" s="47">
        <f t="shared" si="22"/>
        <v>181992.71</v>
      </c>
      <c r="J362" s="47">
        <f t="shared" si="22"/>
        <v>12435.41</v>
      </c>
      <c r="K362" s="47">
        <f t="shared" si="22"/>
        <v>535</v>
      </c>
      <c r="L362" s="47">
        <f t="shared" si="22"/>
        <v>380183.81000000006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49097.43+9827.02</f>
        <v>58924.45</v>
      </c>
      <c r="G367" s="18">
        <v>46356.2</v>
      </c>
      <c r="H367" s="18">
        <v>61952.69</v>
      </c>
      <c r="I367" s="56">
        <f>SUM(F367:H367)</f>
        <v>167233.34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6912.28</v>
      </c>
      <c r="G368" s="63">
        <v>3358.56</v>
      </c>
      <c r="H368" s="63">
        <v>4488.53</v>
      </c>
      <c r="I368" s="56">
        <f>SUM(F368:H368)</f>
        <v>14759.369999999999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65836.73</v>
      </c>
      <c r="G369" s="47">
        <f>SUM(G367:G368)</f>
        <v>49714.759999999995</v>
      </c>
      <c r="H369" s="47">
        <f>SUM(H367:H368)</f>
        <v>66441.22</v>
      </c>
      <c r="I369" s="47">
        <f>SUM(I367:I368)</f>
        <v>181992.71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50000</v>
      </c>
      <c r="H392" s="18">
        <v>66.28</v>
      </c>
      <c r="I392" s="18"/>
      <c r="J392" s="24" t="s">
        <v>289</v>
      </c>
      <c r="K392" s="24" t="s">
        <v>289</v>
      </c>
      <c r="L392" s="56">
        <f t="shared" si="25"/>
        <v>50066.28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66.28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50066.28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66.28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50066.28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50066.28</v>
      </c>
      <c r="G440" s="18"/>
      <c r="H440" s="18"/>
      <c r="I440" s="56">
        <f t="shared" si="33"/>
        <v>50066.28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50066.28</v>
      </c>
      <c r="G446" s="13">
        <f>SUM(G439:G445)</f>
        <v>0</v>
      </c>
      <c r="H446" s="13">
        <f>SUM(H439:H445)</f>
        <v>0</v>
      </c>
      <c r="I446" s="13">
        <f>SUM(I439:I445)</f>
        <v>50066.28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50066.28</v>
      </c>
      <c r="G459" s="18"/>
      <c r="H459" s="18"/>
      <c r="I459" s="56">
        <f t="shared" si="34"/>
        <v>50066.28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50066.28</v>
      </c>
      <c r="G460" s="83">
        <f>SUM(G454:G459)</f>
        <v>0</v>
      </c>
      <c r="H460" s="83">
        <f>SUM(H454:H459)</f>
        <v>0</v>
      </c>
      <c r="I460" s="83">
        <f>SUM(I454:I459)</f>
        <v>50066.28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50066.28</v>
      </c>
      <c r="G461" s="42">
        <f>G452+G460</f>
        <v>0</v>
      </c>
      <c r="H461" s="42">
        <f>H452+H460</f>
        <v>0</v>
      </c>
      <c r="I461" s="42">
        <f>I452+I460</f>
        <v>50066.28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211876.24</v>
      </c>
      <c r="G465" s="18">
        <v>80429.59</v>
      </c>
      <c r="H465" s="18">
        <v>1406.11</v>
      </c>
      <c r="I465" s="18"/>
      <c r="J465" s="18">
        <v>0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16610259.359999999</v>
      </c>
      <c r="G468" s="18">
        <f t="shared" ref="G468:H468" si="35">G193</f>
        <v>367729.18</v>
      </c>
      <c r="H468" s="18">
        <f t="shared" si="35"/>
        <v>421515.34</v>
      </c>
      <c r="I468" s="18"/>
      <c r="J468" s="18">
        <v>50066.28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16610259.359999999</v>
      </c>
      <c r="G470" s="53">
        <f>SUM(G468:G469)</f>
        <v>367729.18</v>
      </c>
      <c r="H470" s="53">
        <f>SUM(H468:H469)</f>
        <v>421515.34</v>
      </c>
      <c r="I470" s="53">
        <f>SUM(I468:I469)</f>
        <v>0</v>
      </c>
      <c r="J470" s="53">
        <f>SUM(J468:J469)</f>
        <v>50066.28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16214591.84</v>
      </c>
      <c r="G472" s="18">
        <f>L362</f>
        <v>380183.81000000006</v>
      </c>
      <c r="H472" s="18">
        <f>L352</f>
        <v>420185.02000000008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2240.84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16216832.68</v>
      </c>
      <c r="G474" s="53">
        <f>SUM(G472:G473)</f>
        <v>380183.81000000006</v>
      </c>
      <c r="H474" s="53">
        <f>SUM(H472:H473)</f>
        <v>420185.02000000008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605302.91999999806</v>
      </c>
      <c r="G476" s="53">
        <f>(G465+G470)- G474</f>
        <v>67974.959999999963</v>
      </c>
      <c r="H476" s="53">
        <f>(H465+H470)- H474</f>
        <v>2736.4299999999348</v>
      </c>
      <c r="I476" s="53">
        <f>(I465+I470)- I474</f>
        <v>0</v>
      </c>
      <c r="J476" s="53">
        <f>(J465+J470)- J474</f>
        <v>50066.28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2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12072350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4.13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9075000</v>
      </c>
      <c r="G495" s="18"/>
      <c r="H495" s="18"/>
      <c r="I495" s="18"/>
      <c r="J495" s="18"/>
      <c r="K495" s="53">
        <f>SUM(F495:J495)</f>
        <v>9075000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520000</v>
      </c>
      <c r="G497" s="18"/>
      <c r="H497" s="18"/>
      <c r="I497" s="18"/>
      <c r="J497" s="18"/>
      <c r="K497" s="53">
        <f t="shared" si="36"/>
        <v>520000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8555000</v>
      </c>
      <c r="G498" s="204"/>
      <c r="H498" s="204"/>
      <c r="I498" s="204"/>
      <c r="J498" s="204"/>
      <c r="K498" s="205">
        <f t="shared" si="36"/>
        <v>8555000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2501018.35</v>
      </c>
      <c r="G499" s="18"/>
      <c r="H499" s="18"/>
      <c r="I499" s="18"/>
      <c r="J499" s="18"/>
      <c r="K499" s="53">
        <f t="shared" si="36"/>
        <v>2501018.35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11056018.35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11056018.35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545000</v>
      </c>
      <c r="G501" s="204"/>
      <c r="H501" s="204"/>
      <c r="I501" s="204"/>
      <c r="J501" s="204"/>
      <c r="K501" s="205">
        <f t="shared" si="36"/>
        <v>545000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178817.63+178270.63</f>
        <v>357088.26</v>
      </c>
      <c r="G502" s="18"/>
      <c r="H502" s="18"/>
      <c r="I502" s="18"/>
      <c r="J502" s="18"/>
      <c r="K502" s="53">
        <f t="shared" si="36"/>
        <v>357088.26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902088.26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902088.26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71242.880000000005</v>
      </c>
      <c r="G507" s="144">
        <v>141731.23000000001</v>
      </c>
      <c r="H507" s="144">
        <v>17845.169999999998</v>
      </c>
      <c r="I507" s="144">
        <f>F507+G507-H507</f>
        <v>195128.94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F198+6819.03</f>
        <v>821370.06</v>
      </c>
      <c r="G521" s="18">
        <f t="shared" ref="G521:J521" si="37">G198</f>
        <v>331705.32999999996</v>
      </c>
      <c r="H521" s="18">
        <f t="shared" si="37"/>
        <v>58680.6</v>
      </c>
      <c r="I521" s="18">
        <f>I198+1704.12</f>
        <v>16556.57</v>
      </c>
      <c r="J521" s="18">
        <f t="shared" si="37"/>
        <v>1395</v>
      </c>
      <c r="K521" s="18"/>
      <c r="L521" s="88">
        <f>SUM(F521:K521)</f>
        <v>1229707.5600000003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F216+68609.12</f>
        <v>424424.93</v>
      </c>
      <c r="G522" s="18">
        <f t="shared" ref="G522:J522" si="38">G216</f>
        <v>125626.17</v>
      </c>
      <c r="H522" s="18">
        <f t="shared" si="38"/>
        <v>66400</v>
      </c>
      <c r="I522" s="18">
        <f t="shared" si="38"/>
        <v>3471.0399999999995</v>
      </c>
      <c r="J522" s="18">
        <f t="shared" si="38"/>
        <v>52.98</v>
      </c>
      <c r="K522" s="18"/>
      <c r="L522" s="88">
        <f>SUM(F522:K522)</f>
        <v>619975.12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F234+17249</f>
        <v>403498.45999999996</v>
      </c>
      <c r="G523" s="18">
        <f t="shared" ref="G523:J523" si="39">G234</f>
        <v>118322.73000000001</v>
      </c>
      <c r="H523" s="18">
        <f t="shared" si="39"/>
        <v>690622.1</v>
      </c>
      <c r="I523" s="18">
        <f t="shared" si="39"/>
        <v>5452.7699999999995</v>
      </c>
      <c r="J523" s="18">
        <f t="shared" si="39"/>
        <v>234.01</v>
      </c>
      <c r="K523" s="18"/>
      <c r="L523" s="88">
        <f>SUM(F523:K523)</f>
        <v>1218130.07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1649293.45</v>
      </c>
      <c r="G524" s="108">
        <f t="shared" ref="G524:L524" si="40">SUM(G521:G523)</f>
        <v>575654.23</v>
      </c>
      <c r="H524" s="108">
        <f t="shared" si="40"/>
        <v>815702.7</v>
      </c>
      <c r="I524" s="108">
        <f t="shared" si="40"/>
        <v>25480.38</v>
      </c>
      <c r="J524" s="108">
        <f t="shared" si="40"/>
        <v>1681.99</v>
      </c>
      <c r="K524" s="108">
        <f t="shared" si="40"/>
        <v>0</v>
      </c>
      <c r="L524" s="89">
        <f t="shared" si="40"/>
        <v>3067812.75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138016+87107.67</f>
        <v>225123.66999999998</v>
      </c>
      <c r="G526" s="18">
        <f>48048.8+50194.96+21701.76</f>
        <v>119945.52</v>
      </c>
      <c r="H526" s="18">
        <f>67151.6</f>
        <v>67151.600000000006</v>
      </c>
      <c r="I526" s="18">
        <f>3611.71+1710.41+2453.06</f>
        <v>7775.18</v>
      </c>
      <c r="J526" s="18">
        <f>1564.2+1147.71+639.1</f>
        <v>3351.0099999999998</v>
      </c>
      <c r="K526" s="18"/>
      <c r="L526" s="88">
        <f>SUM(F526:K526)</f>
        <v>423346.98000000004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33475.12+36960.03</f>
        <v>70435.149999999994</v>
      </c>
      <c r="G527" s="18">
        <f>20387.24+15949.77</f>
        <v>36337.01</v>
      </c>
      <c r="H527" s="18">
        <f>25296.8</f>
        <v>25296.799999999999</v>
      </c>
      <c r="I527" s="18">
        <f>1532.46+500</f>
        <v>2032.46</v>
      </c>
      <c r="J527" s="18">
        <f>663.7+299</f>
        <v>962.7</v>
      </c>
      <c r="K527" s="18"/>
      <c r="L527" s="88">
        <f>SUM(F527:K527)</f>
        <v>135064.12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44737.78+49453.56</f>
        <v>94191.34</v>
      </c>
      <c r="G528" s="18">
        <f>27278.7+21316.04</f>
        <v>48594.740000000005</v>
      </c>
      <c r="H528" s="18">
        <f>34135.38</f>
        <v>34135.379999999997</v>
      </c>
      <c r="I528" s="18">
        <f>2050.47+545.76</f>
        <v>2596.2299999999996</v>
      </c>
      <c r="J528" s="18">
        <f>888.04+299</f>
        <v>1187.04</v>
      </c>
      <c r="K528" s="18"/>
      <c r="L528" s="88">
        <f>SUM(F528:K528)</f>
        <v>180704.73000000004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389750.15999999992</v>
      </c>
      <c r="G529" s="89">
        <f t="shared" ref="G529:L529" si="41">SUM(G526:G528)</f>
        <v>204877.27000000002</v>
      </c>
      <c r="H529" s="89">
        <f t="shared" si="41"/>
        <v>126583.78</v>
      </c>
      <c r="I529" s="89">
        <f t="shared" si="41"/>
        <v>12403.869999999999</v>
      </c>
      <c r="J529" s="89">
        <f t="shared" si="41"/>
        <v>5500.75</v>
      </c>
      <c r="K529" s="89">
        <f t="shared" si="41"/>
        <v>0</v>
      </c>
      <c r="L529" s="89">
        <f t="shared" si="41"/>
        <v>739115.83000000007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77833.75</v>
      </c>
      <c r="G531" s="18">
        <v>36778.65</v>
      </c>
      <c r="H531" s="18">
        <v>2772.51</v>
      </c>
      <c r="I531" s="18">
        <v>1633.25</v>
      </c>
      <c r="J531" s="18"/>
      <c r="K531" s="18">
        <v>511.54</v>
      </c>
      <c r="L531" s="88">
        <f>SUM(F531:K531)</f>
        <v>119529.69999999998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33025.08</v>
      </c>
      <c r="G532" s="18">
        <v>15605.28</v>
      </c>
      <c r="H532" s="18">
        <v>1176.3800000000001</v>
      </c>
      <c r="I532" s="18">
        <v>692.99</v>
      </c>
      <c r="J532" s="18"/>
      <c r="K532" s="18">
        <v>217.05</v>
      </c>
      <c r="L532" s="88">
        <f>SUM(F532:K532)</f>
        <v>50716.78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44188.480000000003</v>
      </c>
      <c r="G533" s="18">
        <v>20880.310000000001</v>
      </c>
      <c r="H533" s="18">
        <v>1574.03</v>
      </c>
      <c r="I533" s="18">
        <v>927.25</v>
      </c>
      <c r="J533" s="18"/>
      <c r="K533" s="18">
        <v>290.41000000000003</v>
      </c>
      <c r="L533" s="88">
        <f>SUM(F533:K533)</f>
        <v>67860.48000000001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155047.31</v>
      </c>
      <c r="G534" s="89">
        <f t="shared" ref="G534:L534" si="42">SUM(G531:G533)</f>
        <v>73264.240000000005</v>
      </c>
      <c r="H534" s="89">
        <f t="shared" si="42"/>
        <v>5522.92</v>
      </c>
      <c r="I534" s="89">
        <f t="shared" si="42"/>
        <v>3253.49</v>
      </c>
      <c r="J534" s="89">
        <f t="shared" si="42"/>
        <v>0</v>
      </c>
      <c r="K534" s="89">
        <f t="shared" si="42"/>
        <v>1019</v>
      </c>
      <c r="L534" s="89">
        <f t="shared" si="42"/>
        <v>238106.96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256.2+47</f>
        <v>303.2</v>
      </c>
      <c r="I536" s="18"/>
      <c r="J536" s="18"/>
      <c r="K536" s="18"/>
      <c r="L536" s="88">
        <f>SUM(F536:K536)</f>
        <v>303.2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130.9+179</f>
        <v>309.89999999999998</v>
      </c>
      <c r="I537" s="18"/>
      <c r="J537" s="18"/>
      <c r="K537" s="18"/>
      <c r="L537" s="88">
        <f>SUM(F537:K537)</f>
        <v>309.89999999999998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249.5+47+117.5+125</f>
        <v>539</v>
      </c>
      <c r="I538" s="18"/>
      <c r="J538" s="18"/>
      <c r="K538" s="18"/>
      <c r="L538" s="88">
        <f>SUM(F538:K538)</f>
        <v>539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3">SUM(G536:G538)</f>
        <v>0</v>
      </c>
      <c r="H539" s="89">
        <f t="shared" si="43"/>
        <v>1152.0999999999999</v>
      </c>
      <c r="I539" s="89">
        <f t="shared" si="43"/>
        <v>0</v>
      </c>
      <c r="J539" s="89">
        <f t="shared" si="43"/>
        <v>0</v>
      </c>
      <c r="K539" s="89">
        <f t="shared" si="43"/>
        <v>0</v>
      </c>
      <c r="L539" s="89">
        <f t="shared" si="43"/>
        <v>1152.0999999999999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105369.11</v>
      </c>
      <c r="I541" s="18"/>
      <c r="J541" s="18"/>
      <c r="K541" s="18"/>
      <c r="L541" s="88">
        <f>SUM(F541:K541)</f>
        <v>105369.11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29412.86</v>
      </c>
      <c r="I542" s="18"/>
      <c r="J542" s="18"/>
      <c r="K542" s="18"/>
      <c r="L542" s="88">
        <f>SUM(F542:K542)</f>
        <v>29412.86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133208.04999999999</v>
      </c>
      <c r="I543" s="18"/>
      <c r="J543" s="18"/>
      <c r="K543" s="18"/>
      <c r="L543" s="88">
        <f>SUM(F543:K543)</f>
        <v>133208.04999999999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4">SUM(G541:G543)</f>
        <v>0</v>
      </c>
      <c r="H544" s="193">
        <f t="shared" si="44"/>
        <v>267990.02</v>
      </c>
      <c r="I544" s="193">
        <f t="shared" si="44"/>
        <v>0</v>
      </c>
      <c r="J544" s="193">
        <f t="shared" si="44"/>
        <v>0</v>
      </c>
      <c r="K544" s="193">
        <f t="shared" si="44"/>
        <v>0</v>
      </c>
      <c r="L544" s="193">
        <f t="shared" si="44"/>
        <v>267990.02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2194090.92</v>
      </c>
      <c r="G545" s="89">
        <f t="shared" ref="G545:L545" si="45">G524+G529+G534+G539+G544</f>
        <v>853795.74</v>
      </c>
      <c r="H545" s="89">
        <f t="shared" si="45"/>
        <v>1216951.52</v>
      </c>
      <c r="I545" s="89">
        <f t="shared" si="45"/>
        <v>41137.74</v>
      </c>
      <c r="J545" s="89">
        <f t="shared" si="45"/>
        <v>7182.74</v>
      </c>
      <c r="K545" s="89">
        <f t="shared" si="45"/>
        <v>1019</v>
      </c>
      <c r="L545" s="89">
        <f t="shared" si="45"/>
        <v>4314177.66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1229707.5600000003</v>
      </c>
      <c r="G549" s="87">
        <f>L526</f>
        <v>423346.98000000004</v>
      </c>
      <c r="H549" s="87">
        <f>L531</f>
        <v>119529.69999999998</v>
      </c>
      <c r="I549" s="87">
        <f>L536</f>
        <v>303.2</v>
      </c>
      <c r="J549" s="87">
        <f>L541</f>
        <v>105369.11</v>
      </c>
      <c r="K549" s="87">
        <f>SUM(F549:J549)</f>
        <v>1878256.5500000003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619975.12</v>
      </c>
      <c r="G550" s="87">
        <f>L527</f>
        <v>135064.12</v>
      </c>
      <c r="H550" s="87">
        <f>L532</f>
        <v>50716.78</v>
      </c>
      <c r="I550" s="87">
        <f>L537</f>
        <v>309.89999999999998</v>
      </c>
      <c r="J550" s="87">
        <f>L542</f>
        <v>29412.86</v>
      </c>
      <c r="K550" s="87">
        <f>SUM(F550:J550)</f>
        <v>835478.78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1218130.07</v>
      </c>
      <c r="G551" s="87">
        <f>L528</f>
        <v>180704.73000000004</v>
      </c>
      <c r="H551" s="87">
        <f>L533</f>
        <v>67860.48000000001</v>
      </c>
      <c r="I551" s="87">
        <f>L538</f>
        <v>539</v>
      </c>
      <c r="J551" s="87">
        <f>L543</f>
        <v>133208.04999999999</v>
      </c>
      <c r="K551" s="87">
        <f>SUM(F551:J551)</f>
        <v>1600442.33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6">SUM(F549:F551)</f>
        <v>3067812.75</v>
      </c>
      <c r="G552" s="89">
        <f t="shared" si="46"/>
        <v>739115.83000000007</v>
      </c>
      <c r="H552" s="89">
        <f t="shared" si="46"/>
        <v>238106.96</v>
      </c>
      <c r="I552" s="89">
        <f t="shared" si="46"/>
        <v>1152.0999999999999</v>
      </c>
      <c r="J552" s="89">
        <f t="shared" si="46"/>
        <v>267990.02</v>
      </c>
      <c r="K552" s="89">
        <f t="shared" si="46"/>
        <v>4314177.66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132536.63+51608</f>
        <v>184144.63</v>
      </c>
      <c r="G557" s="18">
        <f>10139.05+2220+144+239+620+1500+558+7355+3974+75+166+155</f>
        <v>27145.05</v>
      </c>
      <c r="H557" s="18">
        <v>5600</v>
      </c>
      <c r="I557" s="18">
        <v>2114.14</v>
      </c>
      <c r="J557" s="18"/>
      <c r="K557" s="18">
        <v>4573.17</v>
      </c>
      <c r="L557" s="88">
        <f>SUM(F557:K557)</f>
        <v>223576.99000000002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7">SUM(F557:F559)</f>
        <v>184144.63</v>
      </c>
      <c r="G560" s="108">
        <f t="shared" si="47"/>
        <v>27145.05</v>
      </c>
      <c r="H560" s="108">
        <f t="shared" si="47"/>
        <v>5600</v>
      </c>
      <c r="I560" s="108">
        <f t="shared" si="47"/>
        <v>2114.14</v>
      </c>
      <c r="J560" s="108">
        <f t="shared" si="47"/>
        <v>0</v>
      </c>
      <c r="K560" s="108">
        <f t="shared" si="47"/>
        <v>4573.17</v>
      </c>
      <c r="L560" s="89">
        <f t="shared" si="47"/>
        <v>223576.99000000002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34244.120000000003</v>
      </c>
      <c r="G562" s="18">
        <v>7848</v>
      </c>
      <c r="H562" s="18"/>
      <c r="I562" s="18">
        <v>646.32000000000005</v>
      </c>
      <c r="J562" s="18"/>
      <c r="K562" s="18"/>
      <c r="L562" s="88">
        <f>SUM(F562:K562)</f>
        <v>42738.44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11414.71</v>
      </c>
      <c r="G563" s="18">
        <v>2616</v>
      </c>
      <c r="H563" s="18"/>
      <c r="I563" s="18">
        <v>215.44</v>
      </c>
      <c r="J563" s="18"/>
      <c r="K563" s="18"/>
      <c r="L563" s="88">
        <f>SUM(F563:K563)</f>
        <v>14246.15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11414.71</v>
      </c>
      <c r="G564" s="18">
        <v>2616</v>
      </c>
      <c r="H564" s="18"/>
      <c r="I564" s="18">
        <v>215.44</v>
      </c>
      <c r="J564" s="18"/>
      <c r="K564" s="18"/>
      <c r="L564" s="88">
        <f>SUM(F564:K564)</f>
        <v>14246.15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8">SUM(F562:F564)</f>
        <v>57073.54</v>
      </c>
      <c r="G565" s="89">
        <f t="shared" si="48"/>
        <v>13080</v>
      </c>
      <c r="H565" s="89">
        <f t="shared" si="48"/>
        <v>0</v>
      </c>
      <c r="I565" s="89">
        <f t="shared" si="48"/>
        <v>1077.2</v>
      </c>
      <c r="J565" s="89">
        <f t="shared" si="48"/>
        <v>0</v>
      </c>
      <c r="K565" s="89">
        <f t="shared" si="48"/>
        <v>0</v>
      </c>
      <c r="L565" s="89">
        <f t="shared" si="48"/>
        <v>71230.740000000005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9">SUM(G567:G569)</f>
        <v>0</v>
      </c>
      <c r="H570" s="193">
        <f t="shared" si="49"/>
        <v>0</v>
      </c>
      <c r="I570" s="193">
        <f t="shared" si="49"/>
        <v>0</v>
      </c>
      <c r="J570" s="193">
        <f t="shared" si="49"/>
        <v>0</v>
      </c>
      <c r="K570" s="193">
        <f t="shared" si="49"/>
        <v>0</v>
      </c>
      <c r="L570" s="193">
        <f t="shared" si="49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241218.17</v>
      </c>
      <c r="G571" s="89">
        <f t="shared" ref="G571:L571" si="50">G560+G565+G570</f>
        <v>40225.050000000003</v>
      </c>
      <c r="H571" s="89">
        <f t="shared" si="50"/>
        <v>5600</v>
      </c>
      <c r="I571" s="89">
        <f t="shared" si="50"/>
        <v>3191.34</v>
      </c>
      <c r="J571" s="89">
        <f t="shared" si="50"/>
        <v>0</v>
      </c>
      <c r="K571" s="89">
        <f t="shared" si="50"/>
        <v>4573.17</v>
      </c>
      <c r="L571" s="89">
        <f t="shared" si="50"/>
        <v>294807.73000000004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1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1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1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51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53793.4</v>
      </c>
      <c r="I580" s="87">
        <f t="shared" si="51"/>
        <v>53793.4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1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58680.6</v>
      </c>
      <c r="G582" s="18">
        <v>66400</v>
      </c>
      <c r="H582" s="18">
        <v>330661.2</v>
      </c>
      <c r="I582" s="87">
        <f t="shared" si="51"/>
        <v>455741.80000000005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f>251701.59+15768.07</f>
        <v>267469.65999999997</v>
      </c>
      <c r="I583" s="87">
        <f t="shared" si="51"/>
        <v>267469.65999999997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90620</v>
      </c>
      <c r="I584" s="87">
        <f t="shared" si="51"/>
        <v>90620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1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1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1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119896.98+34472</f>
        <v>154368.97999999998</v>
      </c>
      <c r="I591" s="18">
        <f>50872.62</f>
        <v>50872.62</v>
      </c>
      <c r="J591" s="18">
        <v>68069</v>
      </c>
      <c r="K591" s="104">
        <f t="shared" ref="K591:K597" si="52">SUM(H591:J591)</f>
        <v>273310.59999999998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101567.92+3801.19</f>
        <v>105369.11</v>
      </c>
      <c r="I592" s="18">
        <f>27800+1612.86</f>
        <v>29412.86</v>
      </c>
      <c r="J592" s="18">
        <f>131050+2158.05</f>
        <v>133208.04999999999</v>
      </c>
      <c r="K592" s="104">
        <f t="shared" si="52"/>
        <v>267990.02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50562</v>
      </c>
      <c r="K593" s="104">
        <f t="shared" si="52"/>
        <v>50562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10109.379999999999</v>
      </c>
      <c r="J594" s="18">
        <v>28655.39</v>
      </c>
      <c r="K594" s="104">
        <f t="shared" si="52"/>
        <v>38764.769999999997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2792.44</v>
      </c>
      <c r="J595" s="18">
        <v>2846.27</v>
      </c>
      <c r="K595" s="104">
        <f t="shared" si="52"/>
        <v>5638.71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2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2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259738.08999999997</v>
      </c>
      <c r="I598" s="108">
        <f>SUM(I591:I597)</f>
        <v>93187.300000000017</v>
      </c>
      <c r="J598" s="108">
        <f>SUM(J591:J597)</f>
        <v>283340.71000000002</v>
      </c>
      <c r="K598" s="108">
        <f>SUM(K591:K597)</f>
        <v>636266.1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</f>
        <v>72573.330000000016</v>
      </c>
      <c r="I604" s="18">
        <f>J229</f>
        <v>42898.03</v>
      </c>
      <c r="J604" s="18">
        <f>J247+10606</f>
        <v>89043.640000000014</v>
      </c>
      <c r="K604" s="104">
        <f>SUM(H604:J604)</f>
        <v>204515.00000000003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72573.330000000016</v>
      </c>
      <c r="I605" s="108">
        <f>SUM(I602:I604)</f>
        <v>42898.03</v>
      </c>
      <c r="J605" s="108">
        <f>SUM(J602:J604)</f>
        <v>89043.640000000014</v>
      </c>
      <c r="K605" s="108">
        <f>SUM(K602:K604)</f>
        <v>204515.00000000003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35563.63+3653.68+2284.1</f>
        <v>41501.409999999996</v>
      </c>
      <c r="G611" s="18">
        <v>9130.31</v>
      </c>
      <c r="H611" s="18"/>
      <c r="I611" s="18">
        <v>238.81</v>
      </c>
      <c r="J611" s="18"/>
      <c r="K611" s="18"/>
      <c r="L611" s="88">
        <f>SUM(F611:K611)</f>
        <v>50870.529999999992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19008.15+6000+1550.27+969.15</f>
        <v>27527.570000000003</v>
      </c>
      <c r="G612" s="18">
        <v>6056.07</v>
      </c>
      <c r="H612" s="18"/>
      <c r="I612" s="18"/>
      <c r="J612" s="18"/>
      <c r="K612" s="18"/>
      <c r="L612" s="88">
        <f>SUM(F612:K612)</f>
        <v>33583.64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6744.83+10108.75+2074.3+1296.75</f>
        <v>20224.63</v>
      </c>
      <c r="G613" s="18">
        <v>4449.42</v>
      </c>
      <c r="H613" s="18"/>
      <c r="I613" s="18"/>
      <c r="J613" s="18"/>
      <c r="K613" s="18"/>
      <c r="L613" s="88">
        <f>SUM(F613:K613)</f>
        <v>24674.050000000003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3">SUM(F611:F613)</f>
        <v>89253.61</v>
      </c>
      <c r="G614" s="108">
        <f t="shared" si="53"/>
        <v>19635.8</v>
      </c>
      <c r="H614" s="108">
        <f t="shared" si="53"/>
        <v>0</v>
      </c>
      <c r="I614" s="108">
        <f t="shared" si="53"/>
        <v>238.81</v>
      </c>
      <c r="J614" s="108">
        <f t="shared" si="53"/>
        <v>0</v>
      </c>
      <c r="K614" s="108">
        <f t="shared" si="53"/>
        <v>0</v>
      </c>
      <c r="L614" s="89">
        <f t="shared" si="53"/>
        <v>109128.21999999999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1250182.92</v>
      </c>
      <c r="H617" s="109">
        <f>SUM(F52)</f>
        <v>1250182.92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135278.56</v>
      </c>
      <c r="H618" s="109">
        <f>SUM(G52)</f>
        <v>135278.56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70039.37</v>
      </c>
      <c r="H619" s="109">
        <f>SUM(H52)</f>
        <v>70039.37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50066.28</v>
      </c>
      <c r="H621" s="109">
        <f>SUM(J52)</f>
        <v>50066.28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605302.91999999993</v>
      </c>
      <c r="H622" s="109">
        <f>F476</f>
        <v>605302.91999999806</v>
      </c>
      <c r="I622" s="121" t="s">
        <v>101</v>
      </c>
      <c r="J622" s="109">
        <f t="shared" ref="J622:J655" si="54">G622-H622</f>
        <v>1.862645149230957E-9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67974.960000000006</v>
      </c>
      <c r="H623" s="109">
        <f>G476</f>
        <v>67974.959999999963</v>
      </c>
      <c r="I623" s="121" t="s">
        <v>102</v>
      </c>
      <c r="J623" s="109">
        <f t="shared" si="54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2736.43</v>
      </c>
      <c r="H624" s="109">
        <f>H476</f>
        <v>2736.4299999999348</v>
      </c>
      <c r="I624" s="121" t="s">
        <v>103</v>
      </c>
      <c r="J624" s="109">
        <f t="shared" si="54"/>
        <v>6.5028871176764369E-11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4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50066.28</v>
      </c>
      <c r="H626" s="109">
        <f>J476</f>
        <v>50066.28</v>
      </c>
      <c r="I626" s="140" t="s">
        <v>105</v>
      </c>
      <c r="J626" s="109">
        <f t="shared" si="54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16610259.359999999</v>
      </c>
      <c r="H627" s="104">
        <f>SUM(F468)</f>
        <v>16610259.359999999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367729.18</v>
      </c>
      <c r="H628" s="104">
        <f>SUM(G468)</f>
        <v>367729.18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421515.34</v>
      </c>
      <c r="H629" s="104">
        <f>SUM(H468)</f>
        <v>421515.34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50066.28</v>
      </c>
      <c r="H631" s="104">
        <f>SUM(J468)</f>
        <v>50066.28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16214591.84</v>
      </c>
      <c r="H632" s="104">
        <f>SUM(F472)</f>
        <v>16214591.84</v>
      </c>
      <c r="I632" s="140" t="s">
        <v>111</v>
      </c>
      <c r="J632" s="109">
        <f t="shared" si="54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420185.02000000008</v>
      </c>
      <c r="H633" s="104">
        <f>SUM(H472)</f>
        <v>420185.02000000008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181992.71</v>
      </c>
      <c r="H634" s="104">
        <f>I369</f>
        <v>181992.71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380183.81000000006</v>
      </c>
      <c r="H635" s="104">
        <f>SUM(G472)</f>
        <v>380183.81000000006</v>
      </c>
      <c r="I635" s="140" t="s">
        <v>114</v>
      </c>
      <c r="J635" s="109">
        <f t="shared" si="54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4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50066.28</v>
      </c>
      <c r="H637" s="164">
        <f>SUM(J468)</f>
        <v>50066.28</v>
      </c>
      <c r="I637" s="165" t="s">
        <v>110</v>
      </c>
      <c r="J637" s="151">
        <f t="shared" si="54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4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50066.28</v>
      </c>
      <c r="H639" s="104">
        <f>SUM(F461)</f>
        <v>50066.28</v>
      </c>
      <c r="I639" s="140" t="s">
        <v>857</v>
      </c>
      <c r="J639" s="109">
        <f t="shared" si="54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4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4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50066.28</v>
      </c>
      <c r="H642" s="104">
        <f>SUM(I461)</f>
        <v>50066.28</v>
      </c>
      <c r="I642" s="140" t="s">
        <v>860</v>
      </c>
      <c r="J642" s="109">
        <f t="shared" si="54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4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66.28</v>
      </c>
      <c r="H644" s="104">
        <f>H408</f>
        <v>66.28</v>
      </c>
      <c r="I644" s="140" t="s">
        <v>481</v>
      </c>
      <c r="J644" s="109">
        <f t="shared" si="54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4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50066.28</v>
      </c>
      <c r="H646" s="104">
        <f>L408</f>
        <v>50066.28</v>
      </c>
      <c r="I646" s="140" t="s">
        <v>478</v>
      </c>
      <c r="J646" s="109">
        <f t="shared" si="54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636266.1</v>
      </c>
      <c r="H647" s="104">
        <f>L208+L226+L244</f>
        <v>636266.1</v>
      </c>
      <c r="I647" s="140" t="s">
        <v>397</v>
      </c>
      <c r="J647" s="109">
        <f t="shared" si="54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204515.00000000003</v>
      </c>
      <c r="H648" s="104">
        <f>(J257+J338)-(J255+J336)</f>
        <v>204515</v>
      </c>
      <c r="I648" s="140" t="s">
        <v>703</v>
      </c>
      <c r="J648" s="109">
        <f t="shared" si="54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259738.09</v>
      </c>
      <c r="H649" s="104">
        <f>H598</f>
        <v>259738.08999999997</v>
      </c>
      <c r="I649" s="140" t="s">
        <v>389</v>
      </c>
      <c r="J649" s="109">
        <f t="shared" si="54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93187.299999999988</v>
      </c>
      <c r="H650" s="104">
        <f>I598</f>
        <v>93187.300000000017</v>
      </c>
      <c r="I650" s="140" t="s">
        <v>390</v>
      </c>
      <c r="J650" s="109">
        <f t="shared" si="54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283340.70999999996</v>
      </c>
      <c r="H651" s="104">
        <f>J598</f>
        <v>283340.71000000002</v>
      </c>
      <c r="I651" s="140" t="s">
        <v>391</v>
      </c>
      <c r="J651" s="109">
        <f t="shared" si="54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4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4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4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4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6954476.0200000005</v>
      </c>
      <c r="G660" s="19">
        <f>(L229+L309+L359)</f>
        <v>3473776.35</v>
      </c>
      <c r="H660" s="19">
        <f>(L247+L328+L360)</f>
        <v>5430214.4100000001</v>
      </c>
      <c r="I660" s="19">
        <f>SUM(F660:H660)</f>
        <v>15858466.780000001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71280.316843095454</v>
      </c>
      <c r="G661" s="19">
        <f>(L359/IF(SUM(L358:L360)=0,1,SUM(L358:L360))*(SUM(G97:G110)))</f>
        <v>55823.012028940415</v>
      </c>
      <c r="H661" s="19">
        <f>(L360/IF(SUM(L358:L360)=0,1,SUM(L358:L360))*(SUM(G97:G110)))</f>
        <v>74604.59112796413</v>
      </c>
      <c r="I661" s="19">
        <f>SUM(F661:H661)</f>
        <v>201707.91999999998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259738.09</v>
      </c>
      <c r="G662" s="19">
        <f>(L226+L306)-(J226+J306)</f>
        <v>93187.299999999988</v>
      </c>
      <c r="H662" s="19">
        <f>(L244+L325)-(J244+J325)</f>
        <v>283340.70999999996</v>
      </c>
      <c r="I662" s="19">
        <f>SUM(F662:H662)</f>
        <v>636266.1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182124.46000000002</v>
      </c>
      <c r="G663" s="199">
        <f>SUM(G575:G587)+SUM(I602:I604)+L612</f>
        <v>142881.66999999998</v>
      </c>
      <c r="H663" s="199">
        <f>SUM(H575:H587)+SUM(J602:J604)+L613</f>
        <v>856261.95000000007</v>
      </c>
      <c r="I663" s="19">
        <f>SUM(F663:H663)</f>
        <v>1181268.08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6441333.1531569054</v>
      </c>
      <c r="G664" s="19">
        <f>G660-SUM(G661:G663)</f>
        <v>3181884.3679710599</v>
      </c>
      <c r="H664" s="19">
        <f>H660-SUM(H661:H663)</f>
        <v>4216007.1588720363</v>
      </c>
      <c r="I664" s="19">
        <f>I660-SUM(I661:I663)</f>
        <v>13839224.680000002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481.23</v>
      </c>
      <c r="G665" s="248">
        <v>203.9</v>
      </c>
      <c r="H665" s="248">
        <v>272.86</v>
      </c>
      <c r="I665" s="19">
        <f>SUM(F665:H665)</f>
        <v>957.99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13385.14</v>
      </c>
      <c r="G667" s="19">
        <f>ROUND(G664/G665,2)</f>
        <v>15605.12</v>
      </c>
      <c r="H667" s="19">
        <f>ROUND(H664/H665,2)</f>
        <v>15451.17</v>
      </c>
      <c r="I667" s="19">
        <f>ROUND(I664/I665,2)</f>
        <v>14446.11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-13.71</v>
      </c>
      <c r="I670" s="19">
        <f>SUM(F670:H670)</f>
        <v>-13.71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13385.14</v>
      </c>
      <c r="G672" s="19">
        <f>ROUND((G664+G669)/(G665+G670),2)</f>
        <v>15605.12</v>
      </c>
      <c r="H672" s="19">
        <f>ROUND((H664+H669)/(H665+H670),2)</f>
        <v>16268.6</v>
      </c>
      <c r="I672" s="19">
        <f>ROUND((I664+I669)/(I665+I670),2)</f>
        <v>14655.85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Epping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0" t="s">
        <v>784</v>
      </c>
      <c r="B3" s="280"/>
      <c r="C3" s="280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783</v>
      </c>
      <c r="C6" s="279"/>
    </row>
    <row r="7" spans="1:3" x14ac:dyDescent="0.2">
      <c r="A7" s="239" t="s">
        <v>786</v>
      </c>
      <c r="B7" s="277" t="s">
        <v>782</v>
      </c>
      <c r="C7" s="278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3983067.65</v>
      </c>
      <c r="C9" s="229">
        <f>'DOE25'!G197+'DOE25'!G215+'DOE25'!G233+'DOE25'!G276+'DOE25'!G295+'DOE25'!G314</f>
        <v>1713677.34</v>
      </c>
    </row>
    <row r="10" spans="1:3" x14ac:dyDescent="0.2">
      <c r="A10" t="s">
        <v>779</v>
      </c>
      <c r="B10" s="240">
        <v>3724785.93</v>
      </c>
      <c r="C10" s="240">
        <f>1770581.52-80600</f>
        <v>1689981.52</v>
      </c>
    </row>
    <row r="11" spans="1:3" x14ac:dyDescent="0.2">
      <c r="A11" t="s">
        <v>780</v>
      </c>
      <c r="B11" s="240">
        <v>188024.97</v>
      </c>
      <c r="C11" s="240">
        <v>18005.02</v>
      </c>
    </row>
    <row r="12" spans="1:3" x14ac:dyDescent="0.2">
      <c r="A12" t="s">
        <v>781</v>
      </c>
      <c r="B12" s="240">
        <v>70256.75</v>
      </c>
      <c r="C12" s="240">
        <v>5690.8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3983067.6500000004</v>
      </c>
      <c r="C13" s="231">
        <f>SUM(C10:C12)</f>
        <v>1713677.34</v>
      </c>
    </row>
    <row r="14" spans="1:3" x14ac:dyDescent="0.2">
      <c r="B14" s="230"/>
      <c r="C14" s="230"/>
    </row>
    <row r="15" spans="1:3" x14ac:dyDescent="0.2">
      <c r="B15" s="279" t="s">
        <v>783</v>
      </c>
      <c r="C15" s="279"/>
    </row>
    <row r="16" spans="1:3" x14ac:dyDescent="0.2">
      <c r="A16" s="239" t="s">
        <v>787</v>
      </c>
      <c r="B16" s="277" t="s">
        <v>707</v>
      </c>
      <c r="C16" s="278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1649293.4500000002</v>
      </c>
      <c r="C18" s="229">
        <f>'DOE25'!G198+'DOE25'!G216+'DOE25'!G234+'DOE25'!G277+'DOE25'!G296+'DOE25'!G315</f>
        <v>575654.23</v>
      </c>
    </row>
    <row r="19" spans="1:3" x14ac:dyDescent="0.2">
      <c r="A19" t="s">
        <v>779</v>
      </c>
      <c r="B19" s="240">
        <v>894125.24</v>
      </c>
      <c r="C19" s="240">
        <v>171040.7</v>
      </c>
    </row>
    <row r="20" spans="1:3" x14ac:dyDescent="0.2">
      <c r="A20" t="s">
        <v>780</v>
      </c>
      <c r="B20" s="240">
        <v>710717.21</v>
      </c>
      <c r="C20" s="240">
        <v>401013</v>
      </c>
    </row>
    <row r="21" spans="1:3" x14ac:dyDescent="0.2">
      <c r="A21" t="s">
        <v>781</v>
      </c>
      <c r="B21" s="240">
        <v>44451</v>
      </c>
      <c r="C21" s="240">
        <v>3600.53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1649293.45</v>
      </c>
      <c r="C22" s="231">
        <f>SUM(C19:C21)</f>
        <v>575654.23</v>
      </c>
    </row>
    <row r="23" spans="1:3" x14ac:dyDescent="0.2">
      <c r="B23" s="230"/>
      <c r="C23" s="230"/>
    </row>
    <row r="24" spans="1:3" x14ac:dyDescent="0.2">
      <c r="B24" s="279" t="s">
        <v>783</v>
      </c>
      <c r="C24" s="279"/>
    </row>
    <row r="25" spans="1:3" x14ac:dyDescent="0.2">
      <c r="A25" s="239" t="s">
        <v>788</v>
      </c>
      <c r="B25" s="277" t="s">
        <v>708</v>
      </c>
      <c r="C25" s="278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783</v>
      </c>
      <c r="C33" s="279"/>
    </row>
    <row r="34" spans="1:3" x14ac:dyDescent="0.2">
      <c r="A34" s="239" t="s">
        <v>789</v>
      </c>
      <c r="B34" s="277" t="s">
        <v>709</v>
      </c>
      <c r="C34" s="278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204052.03</v>
      </c>
      <c r="C36" s="235">
        <f>'DOE25'!G200+'DOE25'!G218+'DOE25'!G236+'DOE25'!G279+'DOE25'!G298+'DOE25'!G317</f>
        <v>28438.06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204052.03</v>
      </c>
      <c r="C39" s="240">
        <v>28438.06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204052.03</v>
      </c>
      <c r="C40" s="231">
        <f>SUM(C37:C39)</f>
        <v>28438.06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717</v>
      </c>
      <c r="B2" s="265" t="str">
        <f>'DOE25'!A2</f>
        <v>Epping School District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9214093.2200000007</v>
      </c>
      <c r="D5" s="20">
        <f>SUM('DOE25'!L197:L200)+SUM('DOE25'!L215:L218)+SUM('DOE25'!L233:L236)-F5-G5</f>
        <v>9138426.3200000003</v>
      </c>
      <c r="E5" s="243"/>
      <c r="F5" s="255">
        <f>SUM('DOE25'!J197:J200)+SUM('DOE25'!J215:J218)+SUM('DOE25'!J233:J236)</f>
        <v>68616.400000000009</v>
      </c>
      <c r="G5" s="53">
        <f>SUM('DOE25'!K197:K200)+SUM('DOE25'!K215:K218)+SUM('DOE25'!K233:K236)</f>
        <v>7050.5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1277230.33</v>
      </c>
      <c r="D6" s="20">
        <f>'DOE25'!L202+'DOE25'!L220+'DOE25'!L238-F6-G6</f>
        <v>1270040.54</v>
      </c>
      <c r="E6" s="243"/>
      <c r="F6" s="255">
        <f>'DOE25'!J202+'DOE25'!J220+'DOE25'!J238</f>
        <v>3673.8499999999995</v>
      </c>
      <c r="G6" s="53">
        <f>'DOE25'!K202+'DOE25'!K220+'DOE25'!K238</f>
        <v>3515.94</v>
      </c>
      <c r="H6" s="259"/>
    </row>
    <row r="7" spans="1:9" x14ac:dyDescent="0.2">
      <c r="A7" s="32">
        <v>2200</v>
      </c>
      <c r="B7" t="s">
        <v>834</v>
      </c>
      <c r="C7" s="245">
        <f t="shared" si="0"/>
        <v>737490.16</v>
      </c>
      <c r="D7" s="20">
        <f>'DOE25'!L203+'DOE25'!L221+'DOE25'!L239-F7-G7</f>
        <v>621444.86</v>
      </c>
      <c r="E7" s="243"/>
      <c r="F7" s="255">
        <f>'DOE25'!J203+'DOE25'!J221+'DOE25'!J239</f>
        <v>115910.30000000002</v>
      </c>
      <c r="G7" s="53">
        <f>'DOE25'!K203+'DOE25'!K221+'DOE25'!K239</f>
        <v>135</v>
      </c>
      <c r="H7" s="259"/>
    </row>
    <row r="8" spans="1:9" x14ac:dyDescent="0.2">
      <c r="A8" s="32">
        <v>2300</v>
      </c>
      <c r="B8" t="s">
        <v>802</v>
      </c>
      <c r="C8" s="245">
        <f t="shared" si="0"/>
        <v>471812.12000000005</v>
      </c>
      <c r="D8" s="243"/>
      <c r="E8" s="20">
        <f>'DOE25'!L204+'DOE25'!L222+'DOE25'!L240-F8-G8-D9-D11</f>
        <v>462650.12000000005</v>
      </c>
      <c r="F8" s="255">
        <f>'DOE25'!J204+'DOE25'!J222+'DOE25'!J240</f>
        <v>0</v>
      </c>
      <c r="G8" s="53">
        <f>'DOE25'!K204+'DOE25'!K222+'DOE25'!K240</f>
        <v>9162</v>
      </c>
      <c r="H8" s="259"/>
    </row>
    <row r="9" spans="1:9" x14ac:dyDescent="0.2">
      <c r="A9" s="32">
        <v>2310</v>
      </c>
      <c r="B9" t="s">
        <v>818</v>
      </c>
      <c r="C9" s="245">
        <f t="shared" si="0"/>
        <v>54811.38</v>
      </c>
      <c r="D9" s="244">
        <v>54811.38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11650</v>
      </c>
      <c r="D10" s="243"/>
      <c r="E10" s="244">
        <v>11650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235893.06</v>
      </c>
      <c r="D11" s="244">
        <v>235893.06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915377.55999999994</v>
      </c>
      <c r="D12" s="20">
        <f>'DOE25'!L205+'DOE25'!L223+'DOE25'!L241-F12-G12</f>
        <v>896993.53999999992</v>
      </c>
      <c r="E12" s="243"/>
      <c r="F12" s="255">
        <f>'DOE25'!J205+'DOE25'!J223+'DOE25'!J241</f>
        <v>379.05</v>
      </c>
      <c r="G12" s="53">
        <f>'DOE25'!K205+'DOE25'!K223+'DOE25'!K241</f>
        <v>18004.97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1529533.65</v>
      </c>
      <c r="D14" s="20">
        <f>'DOE25'!L207+'DOE25'!L225+'DOE25'!L243-F14-G14</f>
        <v>1524204.25</v>
      </c>
      <c r="E14" s="243"/>
      <c r="F14" s="255">
        <f>'DOE25'!J207+'DOE25'!J225+'DOE25'!J243</f>
        <v>5329.4000000000005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636266.1</v>
      </c>
      <c r="D15" s="20">
        <f>'DOE25'!L208+'DOE25'!L226+'DOE25'!L244-F15-G15</f>
        <v>636266.1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181246</v>
      </c>
      <c r="D22" s="243"/>
      <c r="E22" s="243"/>
      <c r="F22" s="255">
        <f>'DOE25'!L255+'DOE25'!L336</f>
        <v>181246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910838.26</v>
      </c>
      <c r="D25" s="243"/>
      <c r="E25" s="243"/>
      <c r="F25" s="258"/>
      <c r="G25" s="256"/>
      <c r="H25" s="257">
        <f>'DOE25'!L260+'DOE25'!L261+'DOE25'!L341+'DOE25'!L342</f>
        <v>910838.26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212950.47000000006</v>
      </c>
      <c r="D29" s="20">
        <f>'DOE25'!L358+'DOE25'!L359+'DOE25'!L360-'DOE25'!I367-F29-G29</f>
        <v>199980.06000000006</v>
      </c>
      <c r="E29" s="243"/>
      <c r="F29" s="255">
        <f>'DOE25'!J358+'DOE25'!J359+'DOE25'!J360</f>
        <v>12435.41</v>
      </c>
      <c r="G29" s="53">
        <f>'DOE25'!K358+'DOE25'!K359+'DOE25'!K360</f>
        <v>535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405775.39000000007</v>
      </c>
      <c r="D31" s="20">
        <f>'DOE25'!L290+'DOE25'!L309+'DOE25'!L328+'DOE25'!L333+'DOE25'!L334+'DOE25'!L335-F31-G31</f>
        <v>394628.57000000007</v>
      </c>
      <c r="E31" s="243"/>
      <c r="F31" s="255">
        <f>'DOE25'!J290+'DOE25'!J309+'DOE25'!J328+'DOE25'!J333+'DOE25'!J334+'DOE25'!J335</f>
        <v>10606</v>
      </c>
      <c r="G31" s="53">
        <f>'DOE25'!K290+'DOE25'!K309+'DOE25'!K328+'DOE25'!K333+'DOE25'!K334+'DOE25'!K335</f>
        <v>540.82000000000005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14972688.68</v>
      </c>
      <c r="E33" s="246">
        <f>SUM(E5:E31)</f>
        <v>474300.12000000005</v>
      </c>
      <c r="F33" s="246">
        <f>SUM(F5:F31)</f>
        <v>398196.41</v>
      </c>
      <c r="G33" s="246">
        <f>SUM(G5:G31)</f>
        <v>38944.230000000003</v>
      </c>
      <c r="H33" s="246">
        <f>SUM(H5:H31)</f>
        <v>910838.26</v>
      </c>
    </row>
    <row r="35" spans="2:8" ht="12" thickBot="1" x14ac:dyDescent="0.25">
      <c r="B35" s="253" t="s">
        <v>847</v>
      </c>
      <c r="D35" s="254">
        <f>E33</f>
        <v>474300.12000000005</v>
      </c>
      <c r="E35" s="249"/>
    </row>
    <row r="36" spans="2:8" ht="12" thickTop="1" x14ac:dyDescent="0.2">
      <c r="B36" t="s">
        <v>815</v>
      </c>
      <c r="D36" s="20">
        <f>D33</f>
        <v>14972688.68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0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Epping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1085537.31</v>
      </c>
      <c r="D8" s="95">
        <f>'DOE25'!G9</f>
        <v>98425.37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50066.28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120640.98000000001</v>
      </c>
      <c r="D11" s="95">
        <f>'DOE25'!G12</f>
        <v>0</v>
      </c>
      <c r="E11" s="95">
        <f>'DOE25'!H12</f>
        <v>2888.33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19900.63</v>
      </c>
      <c r="D12" s="95">
        <f>'DOE25'!G13</f>
        <v>35429.39</v>
      </c>
      <c r="E12" s="95">
        <f>'DOE25'!H13</f>
        <v>67151.039999999994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1423.8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24104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1250182.92</v>
      </c>
      <c r="D18" s="41">
        <f>SUM(D8:D17)</f>
        <v>135278.56</v>
      </c>
      <c r="E18" s="41">
        <f>SUM(E8:E17)</f>
        <v>70039.37</v>
      </c>
      <c r="F18" s="41">
        <f>SUM(F8:F17)</f>
        <v>0</v>
      </c>
      <c r="G18" s="41">
        <f>SUM(G8:G17)</f>
        <v>50066.28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2888.33</v>
      </c>
      <c r="D21" s="95">
        <f>'DOE25'!G22</f>
        <v>60749.66</v>
      </c>
      <c r="E21" s="95">
        <f>'DOE25'!H22</f>
        <v>59891.32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225550.09</v>
      </c>
      <c r="D23" s="95">
        <f>'DOE25'!G24</f>
        <v>193.52</v>
      </c>
      <c r="E23" s="95">
        <f>'DOE25'!H24</f>
        <v>2826.54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416441.58</v>
      </c>
      <c r="D27" s="95">
        <f>'DOE25'!G28</f>
        <v>6360.42</v>
      </c>
      <c r="E27" s="95">
        <f>'DOE25'!H28</f>
        <v>4585.08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644880</v>
      </c>
      <c r="D31" s="41">
        <f>SUM(D21:D30)</f>
        <v>67303.600000000006</v>
      </c>
      <c r="E31" s="41">
        <f>SUM(E21:E30)</f>
        <v>67302.94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67974.960000000006</v>
      </c>
      <c r="E47" s="95">
        <f>'DOE25'!H48</f>
        <v>2736.43</v>
      </c>
      <c r="F47" s="95">
        <f>'DOE25'!I48</f>
        <v>0</v>
      </c>
      <c r="G47" s="95">
        <f>'DOE25'!J48</f>
        <v>50066.28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63240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392062.92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605302.91999999993</v>
      </c>
      <c r="D50" s="41">
        <f>SUM(D34:D49)</f>
        <v>67974.960000000006</v>
      </c>
      <c r="E50" s="41">
        <f>SUM(E34:E49)</f>
        <v>2736.43</v>
      </c>
      <c r="F50" s="41">
        <f>SUM(F34:F49)</f>
        <v>0</v>
      </c>
      <c r="G50" s="41">
        <f>SUM(G34:G49)</f>
        <v>50066.28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1250182.92</v>
      </c>
      <c r="D51" s="41">
        <f>D50+D31</f>
        <v>135278.56</v>
      </c>
      <c r="E51" s="41">
        <f>E50+E31</f>
        <v>70039.37</v>
      </c>
      <c r="F51" s="41">
        <f>F50+F31</f>
        <v>0</v>
      </c>
      <c r="G51" s="41">
        <f>G50+G31</f>
        <v>50066.28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10853530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96118.12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8.2100000000000009</v>
      </c>
      <c r="E59" s="95">
        <f>'DOE25'!H96</f>
        <v>0</v>
      </c>
      <c r="F59" s="95">
        <f>'DOE25'!I96</f>
        <v>0</v>
      </c>
      <c r="G59" s="95">
        <f>'DOE25'!J96</f>
        <v>66.28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201707.92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287863.39999999997</v>
      </c>
      <c r="D61" s="95">
        <f>SUM('DOE25'!G98:G110)</f>
        <v>0</v>
      </c>
      <c r="E61" s="95">
        <f>SUM('DOE25'!H98:H110)</f>
        <v>7515.15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383981.51999999996</v>
      </c>
      <c r="D62" s="130">
        <f>SUM(D57:D61)</f>
        <v>201716.13</v>
      </c>
      <c r="E62" s="130">
        <f>SUM(E57:E61)</f>
        <v>7515.15</v>
      </c>
      <c r="F62" s="130">
        <f>SUM(F57:F61)</f>
        <v>0</v>
      </c>
      <c r="G62" s="130">
        <f>SUM(G57:G61)</f>
        <v>66.28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11237511.52</v>
      </c>
      <c r="D63" s="22">
        <f>D56+D62</f>
        <v>201716.13</v>
      </c>
      <c r="E63" s="22">
        <f>E56+E62</f>
        <v>7515.15</v>
      </c>
      <c r="F63" s="22">
        <f>F56+F62</f>
        <v>0</v>
      </c>
      <c r="G63" s="22">
        <f>G56+G62</f>
        <v>66.28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3374438.86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1441043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4815481.8599999994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221874.6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99926.85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10406.4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4936.28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332207.85000000003</v>
      </c>
      <c r="D78" s="130">
        <f>SUM(D72:D77)</f>
        <v>4936.28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5147689.709999999</v>
      </c>
      <c r="D81" s="130">
        <f>SUM(D79:D80)+D78+D70</f>
        <v>4936.28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225058.13</v>
      </c>
      <c r="D88" s="95">
        <f>SUM('DOE25'!G153:G161)</f>
        <v>161076.76999999999</v>
      </c>
      <c r="E88" s="95">
        <f>SUM('DOE25'!H153:H161)</f>
        <v>414000.19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225058.13</v>
      </c>
      <c r="D91" s="131">
        <f>SUM(D85:D90)</f>
        <v>161076.76999999999</v>
      </c>
      <c r="E91" s="131">
        <f>SUM(E85:E90)</f>
        <v>414000.19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16610259.359999999</v>
      </c>
      <c r="D104" s="86">
        <f>D63+D81+D91+D103</f>
        <v>367729.18</v>
      </c>
      <c r="E104" s="86">
        <f>E63+E81+E91+E103</f>
        <v>421515.34</v>
      </c>
      <c r="F104" s="86">
        <f>F63+F81+F91+F103</f>
        <v>0</v>
      </c>
      <c r="G104" s="86">
        <f>G63+G81+G103</f>
        <v>50066.28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5802654.5800000001</v>
      </c>
      <c r="D109" s="24" t="s">
        <v>289</v>
      </c>
      <c r="E109" s="95">
        <f>('DOE25'!L276)+('DOE25'!L295)+('DOE25'!L314)</f>
        <v>130533.86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2973431.48</v>
      </c>
      <c r="D110" s="24" t="s">
        <v>289</v>
      </c>
      <c r="E110" s="95">
        <f>('DOE25'!L277)+('DOE25'!L296)+('DOE25'!L315)</f>
        <v>94381.26999999999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90620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347387.16000000003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9214093.2200000007</v>
      </c>
      <c r="D115" s="86">
        <f>SUM(D109:D114)</f>
        <v>0</v>
      </c>
      <c r="E115" s="86">
        <f>SUM(E109:E114)</f>
        <v>224915.13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1277230.33</v>
      </c>
      <c r="D118" s="24" t="s">
        <v>289</v>
      </c>
      <c r="E118" s="95">
        <f>+('DOE25'!L281)+('DOE25'!L300)+('DOE25'!L319)</f>
        <v>38229.730000000003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737490.16</v>
      </c>
      <c r="D119" s="24" t="s">
        <v>289</v>
      </c>
      <c r="E119" s="95">
        <f>+('DOE25'!L282)+('DOE25'!L301)+('DOE25'!L320)</f>
        <v>110894.93000000001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762516.56</v>
      </c>
      <c r="D120" s="24" t="s">
        <v>289</v>
      </c>
      <c r="E120" s="95">
        <f>+('DOE25'!L283)+('DOE25'!L302)+('DOE25'!L321)</f>
        <v>2500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915377.55999999994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1529533.65</v>
      </c>
      <c r="D123" s="24" t="s">
        <v>289</v>
      </c>
      <c r="E123" s="95">
        <f>+('DOE25'!L286)+('DOE25'!L305)+('DOE25'!L324)</f>
        <v>29235.599999999999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636266.1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380183.81000000006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5858414.3599999994</v>
      </c>
      <c r="D128" s="86">
        <f>SUM(D118:D127)</f>
        <v>380183.81000000006</v>
      </c>
      <c r="E128" s="86">
        <f>SUM(E118:E127)</f>
        <v>180860.26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181246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520000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390838.26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14409.63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50066.28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-66.279999999998836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1142084.26</v>
      </c>
      <c r="D144" s="141">
        <f>SUM(D130:D143)</f>
        <v>0</v>
      </c>
      <c r="E144" s="141">
        <f>SUM(E130:E143)</f>
        <v>14409.63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16214591.84</v>
      </c>
      <c r="D145" s="86">
        <f>(D115+D128+D144)</f>
        <v>380183.81000000006</v>
      </c>
      <c r="E145" s="86">
        <f>(E115+E128+E144)</f>
        <v>420185.02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08/15/2005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08/15/2025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12072350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4.13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9075000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9075000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520000</v>
      </c>
    </row>
    <row r="159" spans="1:9" x14ac:dyDescent="0.2">
      <c r="A159" s="22" t="s">
        <v>35</v>
      </c>
      <c r="B159" s="137">
        <f>'DOE25'!F498</f>
        <v>8555000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8555000</v>
      </c>
    </row>
    <row r="160" spans="1:9" x14ac:dyDescent="0.2">
      <c r="A160" s="22" t="s">
        <v>36</v>
      </c>
      <c r="B160" s="137">
        <f>'DOE25'!F499</f>
        <v>2501018.35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2501018.35</v>
      </c>
    </row>
    <row r="161" spans="1:7" x14ac:dyDescent="0.2">
      <c r="A161" s="22" t="s">
        <v>37</v>
      </c>
      <c r="B161" s="137">
        <f>'DOE25'!F500</f>
        <v>11056018.35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11056018.35</v>
      </c>
    </row>
    <row r="162" spans="1:7" x14ac:dyDescent="0.2">
      <c r="A162" s="22" t="s">
        <v>38</v>
      </c>
      <c r="B162" s="137">
        <f>'DOE25'!F501</f>
        <v>545000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545000</v>
      </c>
    </row>
    <row r="163" spans="1:7" x14ac:dyDescent="0.2">
      <c r="A163" s="22" t="s">
        <v>39</v>
      </c>
      <c r="B163" s="137">
        <f>'DOE25'!F502</f>
        <v>357088.26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357088.26</v>
      </c>
    </row>
    <row r="164" spans="1:7" x14ac:dyDescent="0.2">
      <c r="A164" s="22" t="s">
        <v>246</v>
      </c>
      <c r="B164" s="137">
        <f>'DOE25'!F503</f>
        <v>902088.26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902088.26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740</v>
      </c>
      <c r="B1" s="285"/>
      <c r="C1" s="285"/>
      <c r="D1" s="285"/>
    </row>
    <row r="2" spans="1:4" x14ac:dyDescent="0.2">
      <c r="A2" s="187" t="s">
        <v>717</v>
      </c>
      <c r="B2" s="186" t="str">
        <f>'DOE25'!A2</f>
        <v>Epping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13385</v>
      </c>
    </row>
    <row r="5" spans="1:4" x14ac:dyDescent="0.2">
      <c r="B5" t="s">
        <v>704</v>
      </c>
      <c r="C5" s="179">
        <f>IF('DOE25'!G665+'DOE25'!G670=0,0,ROUND('DOE25'!G672,0))</f>
        <v>15605</v>
      </c>
    </row>
    <row r="6" spans="1:4" x14ac:dyDescent="0.2">
      <c r="B6" t="s">
        <v>62</v>
      </c>
      <c r="C6" s="179">
        <f>IF('DOE25'!H665+'DOE25'!H670=0,0,ROUND('DOE25'!H672,0))</f>
        <v>16269</v>
      </c>
    </row>
    <row r="7" spans="1:4" x14ac:dyDescent="0.2">
      <c r="B7" t="s">
        <v>705</v>
      </c>
      <c r="C7" s="179">
        <f>IF('DOE25'!I665+'DOE25'!I670=0,0,ROUND('DOE25'!I672,0))</f>
        <v>14656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5933188</v>
      </c>
      <c r="D10" s="182">
        <f>ROUND((C10/$C$28)*100,1)</f>
        <v>37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3067813</v>
      </c>
      <c r="D11" s="182">
        <f>ROUND((C11/$C$28)*100,1)</f>
        <v>19.100000000000001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90620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347387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1315460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848385</v>
      </c>
      <c r="D16" s="182">
        <f t="shared" si="0"/>
        <v>5.3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765017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915378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1558769</v>
      </c>
      <c r="D20" s="182">
        <f t="shared" si="0"/>
        <v>9.6999999999999993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636266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390838</v>
      </c>
      <c r="D25" s="182">
        <f t="shared" si="0"/>
        <v>2.4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178476.08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16047597.08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181246</v>
      </c>
    </row>
    <row r="30" spans="1:4" x14ac:dyDescent="0.2">
      <c r="B30" s="187" t="s">
        <v>729</v>
      </c>
      <c r="C30" s="180">
        <f>SUM(C28:C29)</f>
        <v>16228843.08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520000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10853530</v>
      </c>
      <c r="D35" s="182">
        <f t="shared" ref="D35:D40" si="1">ROUND((C35/$C$41)*100,1)</f>
        <v>63.1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391571.16000000015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4815482</v>
      </c>
      <c r="D37" s="182">
        <f t="shared" si="1"/>
        <v>28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337144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800135</v>
      </c>
      <c r="D39" s="182">
        <f t="shared" si="1"/>
        <v>4.7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17197862.16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9" activePane="bottomLeft" state="frozen"/>
      <selection activeCell="F46" sqref="F46"/>
      <selection pane="bottomLeft" sqref="A1:M7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6" t="s">
        <v>770</v>
      </c>
      <c r="B1" s="297"/>
      <c r="C1" s="297"/>
      <c r="D1" s="297"/>
      <c r="E1" s="297"/>
      <c r="F1" s="297"/>
      <c r="G1" s="297"/>
      <c r="H1" s="297"/>
      <c r="I1" s="297"/>
      <c r="J1" s="213"/>
      <c r="K1" s="213"/>
      <c r="L1" s="213"/>
      <c r="M1" s="214"/>
    </row>
    <row r="2" spans="1:26" ht="12.75" x14ac:dyDescent="0.2">
      <c r="A2" s="302" t="s">
        <v>767</v>
      </c>
      <c r="B2" s="303"/>
      <c r="C2" s="303"/>
      <c r="D2" s="303"/>
      <c r="E2" s="303"/>
      <c r="F2" s="300" t="str">
        <f>'DOE25'!A2</f>
        <v>Epping School District</v>
      </c>
      <c r="G2" s="301"/>
      <c r="H2" s="301"/>
      <c r="I2" s="301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8" t="s">
        <v>771</v>
      </c>
      <c r="D3" s="298"/>
      <c r="E3" s="298"/>
      <c r="F3" s="298"/>
      <c r="G3" s="298"/>
      <c r="H3" s="298"/>
      <c r="I3" s="298"/>
      <c r="J3" s="298"/>
      <c r="K3" s="298"/>
      <c r="L3" s="298"/>
      <c r="M3" s="299"/>
    </row>
    <row r="4" spans="1:26" x14ac:dyDescent="0.2">
      <c r="A4" s="218">
        <v>5</v>
      </c>
      <c r="B4" s="219">
        <v>14</v>
      </c>
      <c r="C4" s="287" t="s">
        <v>912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75">
        <v>3</v>
      </c>
      <c r="B5" s="276">
        <v>23</v>
      </c>
      <c r="C5" s="287" t="s">
        <v>916</v>
      </c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75">
        <v>3</v>
      </c>
      <c r="B6" s="276">
        <v>24</v>
      </c>
      <c r="C6" s="287" t="s">
        <v>917</v>
      </c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7"/>
      <c r="AB29" s="207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7"/>
      <c r="AO29" s="207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7"/>
      <c r="BB29" s="207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7"/>
      <c r="BO29" s="207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7"/>
      <c r="CB29" s="207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7"/>
      <c r="CO29" s="207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7"/>
      <c r="DB29" s="207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7"/>
      <c r="DO29" s="207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7"/>
      <c r="EB29" s="207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7"/>
      <c r="EO29" s="207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7"/>
      <c r="FB29" s="207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7"/>
      <c r="FO29" s="207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7"/>
      <c r="GB29" s="207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7"/>
      <c r="GO29" s="207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7"/>
      <c r="HB29" s="207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7"/>
      <c r="HO29" s="207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7"/>
      <c r="IB29" s="207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7"/>
      <c r="IO29" s="207"/>
      <c r="IP29" s="292"/>
      <c r="IQ29" s="292"/>
      <c r="IR29" s="292"/>
      <c r="IS29" s="292"/>
      <c r="IT29" s="292"/>
      <c r="IU29" s="292"/>
      <c r="IV29" s="292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7"/>
      <c r="AB30" s="207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7"/>
      <c r="AO30" s="207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7"/>
      <c r="BB30" s="207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7"/>
      <c r="BO30" s="207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7"/>
      <c r="CB30" s="207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7"/>
      <c r="CO30" s="207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7"/>
      <c r="DB30" s="207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7"/>
      <c r="DO30" s="207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7"/>
      <c r="EB30" s="207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7"/>
      <c r="EO30" s="207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7"/>
      <c r="FB30" s="207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7"/>
      <c r="FO30" s="207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7"/>
      <c r="GB30" s="207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7"/>
      <c r="GO30" s="207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7"/>
      <c r="HB30" s="207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7"/>
      <c r="HO30" s="207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7"/>
      <c r="IB30" s="207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7"/>
      <c r="IO30" s="207"/>
      <c r="IP30" s="292"/>
      <c r="IQ30" s="292"/>
      <c r="IR30" s="292"/>
      <c r="IS30" s="292"/>
      <c r="IT30" s="292"/>
      <c r="IU30" s="292"/>
      <c r="IV30" s="292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7"/>
      <c r="AB31" s="207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7"/>
      <c r="AO31" s="207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7"/>
      <c r="BB31" s="207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7"/>
      <c r="BO31" s="207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7"/>
      <c r="CB31" s="207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7"/>
      <c r="CO31" s="207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7"/>
      <c r="DB31" s="207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7"/>
      <c r="DO31" s="207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7"/>
      <c r="EB31" s="207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7"/>
      <c r="EO31" s="207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7"/>
      <c r="FB31" s="207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7"/>
      <c r="FO31" s="207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7"/>
      <c r="GB31" s="207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7"/>
      <c r="GO31" s="207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7"/>
      <c r="HB31" s="207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7"/>
      <c r="HO31" s="207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7"/>
      <c r="IB31" s="207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7"/>
      <c r="IO31" s="207"/>
      <c r="IP31" s="292"/>
      <c r="IQ31" s="292"/>
      <c r="IR31" s="292"/>
      <c r="IS31" s="292"/>
      <c r="IT31" s="292"/>
      <c r="IU31" s="292"/>
      <c r="IV31" s="292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7"/>
      <c r="AB38" s="207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7"/>
      <c r="AO38" s="207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7"/>
      <c r="BB38" s="207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7"/>
      <c r="BO38" s="207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7"/>
      <c r="CB38" s="207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7"/>
      <c r="CO38" s="207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7"/>
      <c r="DB38" s="207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7"/>
      <c r="DO38" s="207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7"/>
      <c r="EB38" s="207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7"/>
      <c r="EO38" s="207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7"/>
      <c r="FB38" s="207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7"/>
      <c r="FO38" s="207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7"/>
      <c r="GB38" s="207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7"/>
      <c r="GO38" s="207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7"/>
      <c r="HB38" s="207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7"/>
      <c r="HO38" s="207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7"/>
      <c r="IB38" s="207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7"/>
      <c r="IO38" s="207"/>
      <c r="IP38" s="292"/>
      <c r="IQ38" s="292"/>
      <c r="IR38" s="292"/>
      <c r="IS38" s="292"/>
      <c r="IT38" s="292"/>
      <c r="IU38" s="292"/>
      <c r="IV38" s="292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7"/>
      <c r="AB39" s="207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7"/>
      <c r="AO39" s="207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7"/>
      <c r="BB39" s="207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7"/>
      <c r="BO39" s="207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7"/>
      <c r="CB39" s="207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7"/>
      <c r="CO39" s="207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7"/>
      <c r="DB39" s="207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7"/>
      <c r="DO39" s="207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7"/>
      <c r="EB39" s="207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7"/>
      <c r="EO39" s="207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7"/>
      <c r="FB39" s="207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7"/>
      <c r="FO39" s="207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7"/>
      <c r="GB39" s="207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7"/>
      <c r="GO39" s="207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7"/>
      <c r="HB39" s="207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7"/>
      <c r="HO39" s="207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7"/>
      <c r="IB39" s="207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7"/>
      <c r="IO39" s="207"/>
      <c r="IP39" s="292"/>
      <c r="IQ39" s="292"/>
      <c r="IR39" s="292"/>
      <c r="IS39" s="292"/>
      <c r="IT39" s="292"/>
      <c r="IU39" s="292"/>
      <c r="IV39" s="292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7"/>
      <c r="AB40" s="207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7"/>
      <c r="AO40" s="207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7"/>
      <c r="BB40" s="207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7"/>
      <c r="BO40" s="207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7"/>
      <c r="CB40" s="207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7"/>
      <c r="CO40" s="207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7"/>
      <c r="DB40" s="207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7"/>
      <c r="DO40" s="207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7"/>
      <c r="EB40" s="207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7"/>
      <c r="EO40" s="207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7"/>
      <c r="FB40" s="207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7"/>
      <c r="FO40" s="207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7"/>
      <c r="GB40" s="207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7"/>
      <c r="GO40" s="207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7"/>
      <c r="HB40" s="207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7"/>
      <c r="HO40" s="207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7"/>
      <c r="IB40" s="207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7"/>
      <c r="IO40" s="207"/>
      <c r="IP40" s="292"/>
      <c r="IQ40" s="292"/>
      <c r="IR40" s="292"/>
      <c r="IS40" s="292"/>
      <c r="IT40" s="292"/>
      <c r="IU40" s="292"/>
      <c r="IV40" s="292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1" t="s">
        <v>848</v>
      </c>
      <c r="B72" s="291"/>
      <c r="C72" s="291"/>
      <c r="D72" s="291"/>
      <c r="E72" s="29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1:13" x14ac:dyDescent="0.2">
      <c r="A74" s="211"/>
      <c r="B74" s="211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1:13" x14ac:dyDescent="0.2">
      <c r="A75" s="211"/>
      <c r="B75" s="211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1:13" x14ac:dyDescent="0.2">
      <c r="A76" s="211"/>
      <c r="B76" s="211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1:13" x14ac:dyDescent="0.2">
      <c r="A77" s="211"/>
      <c r="B77" s="211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</row>
    <row r="78" spans="1:13" x14ac:dyDescent="0.2">
      <c r="A78" s="211"/>
      <c r="B78" s="211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</row>
    <row r="79" spans="1:13" x14ac:dyDescent="0.2">
      <c r="A79" s="211"/>
      <c r="B79" s="211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</row>
    <row r="80" spans="1:13" x14ac:dyDescent="0.2">
      <c r="A80" s="211"/>
      <c r="B80" s="211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</row>
    <row r="81" spans="1:13" x14ac:dyDescent="0.2">
      <c r="A81" s="211"/>
      <c r="B81" s="211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</row>
    <row r="82" spans="1:13" x14ac:dyDescent="0.2">
      <c r="A82" s="211"/>
      <c r="B82" s="211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</row>
    <row r="83" spans="1:13" x14ac:dyDescent="0.2">
      <c r="A83" s="211"/>
      <c r="B83" s="211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</row>
    <row r="84" spans="1:13" x14ac:dyDescent="0.2">
      <c r="A84" s="211"/>
      <c r="B84" s="211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</row>
    <row r="85" spans="1:13" x14ac:dyDescent="0.2">
      <c r="A85" s="211"/>
      <c r="B85" s="211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</row>
    <row r="86" spans="1:13" x14ac:dyDescent="0.2">
      <c r="A86" s="211"/>
      <c r="B86" s="211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</row>
    <row r="87" spans="1:13" x14ac:dyDescent="0.2">
      <c r="A87" s="211"/>
      <c r="B87" s="211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</row>
    <row r="88" spans="1:13" x14ac:dyDescent="0.2">
      <c r="A88" s="211"/>
      <c r="B88" s="211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</row>
    <row r="89" spans="1:13" x14ac:dyDescent="0.2">
      <c r="A89" s="211"/>
      <c r="B89" s="211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</row>
    <row r="90" spans="1:13" x14ac:dyDescent="0.2">
      <c r="A90" s="211"/>
      <c r="B90" s="211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7:M7"/>
    <mergeCell ref="C8:M8"/>
    <mergeCell ref="C13:M13"/>
    <mergeCell ref="C9:M9"/>
    <mergeCell ref="C10:M10"/>
    <mergeCell ref="C11:M11"/>
    <mergeCell ref="C12:M12"/>
    <mergeCell ref="C5:M5"/>
    <mergeCell ref="C6:M6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2014-10-24T17:50:10Z</cp:lastPrinted>
  <dcterms:created xsi:type="dcterms:W3CDTF">1997-12-04T19:04:30Z</dcterms:created>
  <dcterms:modified xsi:type="dcterms:W3CDTF">2014-12-05T16:04:18Z</dcterms:modified>
</cp:coreProperties>
</file>