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13515" yWindow="-15" windowWidth="11700" windowHeight="1173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10" i="13" l="1"/>
  <c r="I507" i="1" l="1"/>
  <c r="J468" i="1"/>
  <c r="G459" i="1"/>
  <c r="F36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3" i="10"/>
  <c r="C16" i="10"/>
  <c r="C19" i="10"/>
  <c r="C20" i="10"/>
  <c r="L250" i="1"/>
  <c r="L332" i="1"/>
  <c r="L254" i="1"/>
  <c r="C25" i="10"/>
  <c r="L268" i="1"/>
  <c r="L269" i="1"/>
  <c r="L349" i="1"/>
  <c r="L350" i="1"/>
  <c r="L351" i="1" s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D31" i="2" s="1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E62" i="2" s="1"/>
  <c r="E63" i="2" s="1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H470" i="1"/>
  <c r="I470" i="1"/>
  <c r="J470" i="1"/>
  <c r="J476" i="1" s="1"/>
  <c r="H626" i="1" s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1" i="1"/>
  <c r="H641" i="1"/>
  <c r="G643" i="1"/>
  <c r="H643" i="1"/>
  <c r="G644" i="1"/>
  <c r="G645" i="1"/>
  <c r="H645" i="1"/>
  <c r="J645" i="1" s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A31" i="12"/>
  <c r="A40" i="12"/>
  <c r="D18" i="13"/>
  <c r="C18" i="13" s="1"/>
  <c r="D7" i="13"/>
  <c r="C7" i="13" s="1"/>
  <c r="D17" i="13"/>
  <c r="C17" i="13" s="1"/>
  <c r="F78" i="2"/>
  <c r="F81" i="2" s="1"/>
  <c r="C78" i="2"/>
  <c r="D50" i="2"/>
  <c r="G157" i="2"/>
  <c r="F18" i="2"/>
  <c r="G161" i="2"/>
  <c r="G156" i="2"/>
  <c r="E103" i="2"/>
  <c r="E31" i="2"/>
  <c r="G62" i="2"/>
  <c r="D19" i="13"/>
  <c r="C19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I169" i="1"/>
  <c r="H169" i="1"/>
  <c r="G552" i="1"/>
  <c r="J643" i="1"/>
  <c r="F476" i="1"/>
  <c r="H622" i="1" s="1"/>
  <c r="I476" i="1"/>
  <c r="H625" i="1" s="1"/>
  <c r="J625" i="1" s="1"/>
  <c r="G476" i="1"/>
  <c r="H623" i="1" s="1"/>
  <c r="J623" i="1" s="1"/>
  <c r="J140" i="1"/>
  <c r="F571" i="1"/>
  <c r="I552" i="1"/>
  <c r="K550" i="1"/>
  <c r="G22" i="2"/>
  <c r="K545" i="1"/>
  <c r="J552" i="1"/>
  <c r="C29" i="10"/>
  <c r="H140" i="1"/>
  <c r="L393" i="1"/>
  <c r="C138" i="2" s="1"/>
  <c r="A13" i="12"/>
  <c r="F22" i="13"/>
  <c r="H25" i="13"/>
  <c r="C25" i="13" s="1"/>
  <c r="J651" i="1"/>
  <c r="H571" i="1"/>
  <c r="L560" i="1"/>
  <c r="J545" i="1"/>
  <c r="H338" i="1"/>
  <c r="H352" i="1" s="1"/>
  <c r="F338" i="1"/>
  <c r="F352" i="1" s="1"/>
  <c r="H192" i="1"/>
  <c r="L309" i="1"/>
  <c r="E16" i="13"/>
  <c r="J655" i="1"/>
  <c r="L570" i="1"/>
  <c r="I571" i="1"/>
  <c r="I545" i="1"/>
  <c r="J636" i="1"/>
  <c r="L565" i="1"/>
  <c r="K551" i="1"/>
  <c r="C22" i="13"/>
  <c r="C16" i="13"/>
  <c r="H33" i="13"/>
  <c r="J634" i="1" l="1"/>
  <c r="L614" i="1"/>
  <c r="L534" i="1"/>
  <c r="K549" i="1"/>
  <c r="K552" i="1" s="1"/>
  <c r="H545" i="1"/>
  <c r="F552" i="1"/>
  <c r="L524" i="1"/>
  <c r="L545" i="1" s="1"/>
  <c r="J640" i="1"/>
  <c r="I446" i="1"/>
  <c r="G642" i="1" s="1"/>
  <c r="J642" i="1" s="1"/>
  <c r="L401" i="1"/>
  <c r="C139" i="2" s="1"/>
  <c r="H408" i="1"/>
  <c r="H644" i="1" s="1"/>
  <c r="J644" i="1" s="1"/>
  <c r="G661" i="1"/>
  <c r="L362" i="1"/>
  <c r="C27" i="10" s="1"/>
  <c r="D29" i="13"/>
  <c r="C29" i="13" s="1"/>
  <c r="D127" i="2"/>
  <c r="D128" i="2" s="1"/>
  <c r="D145" i="2" s="1"/>
  <c r="F661" i="1"/>
  <c r="I661" i="1" s="1"/>
  <c r="H52" i="1"/>
  <c r="H619" i="1" s="1"/>
  <c r="J619" i="1" s="1"/>
  <c r="K352" i="1"/>
  <c r="C21" i="10"/>
  <c r="E128" i="2"/>
  <c r="E115" i="2"/>
  <c r="L290" i="1"/>
  <c r="L338" i="1" s="1"/>
  <c r="L352" i="1" s="1"/>
  <c r="G633" i="1" s="1"/>
  <c r="J633" i="1" s="1"/>
  <c r="C10" i="10"/>
  <c r="K257" i="1"/>
  <c r="K271" i="1" s="1"/>
  <c r="I257" i="1"/>
  <c r="I271" i="1" s="1"/>
  <c r="H257" i="1"/>
  <c r="H271" i="1" s="1"/>
  <c r="L247" i="1"/>
  <c r="H660" i="1" s="1"/>
  <c r="H664" i="1" s="1"/>
  <c r="H667" i="1" s="1"/>
  <c r="G257" i="1"/>
  <c r="G271" i="1" s="1"/>
  <c r="C120" i="2"/>
  <c r="F257" i="1"/>
  <c r="F271" i="1" s="1"/>
  <c r="E8" i="13"/>
  <c r="C8" i="13" s="1"/>
  <c r="H647" i="1"/>
  <c r="J647" i="1" s="1"/>
  <c r="D15" i="13"/>
  <c r="C15" i="13" s="1"/>
  <c r="C124" i="2"/>
  <c r="G649" i="1"/>
  <c r="J649" i="1" s="1"/>
  <c r="F662" i="1"/>
  <c r="I662" i="1" s="1"/>
  <c r="C123" i="2"/>
  <c r="D12" i="13"/>
  <c r="C12" i="13" s="1"/>
  <c r="C121" i="2"/>
  <c r="D6" i="13"/>
  <c r="C6" i="13" s="1"/>
  <c r="C118" i="2"/>
  <c r="C11" i="10"/>
  <c r="L211" i="1"/>
  <c r="C109" i="2"/>
  <c r="C115" i="2" s="1"/>
  <c r="D5" i="13"/>
  <c r="C5" i="13" s="1"/>
  <c r="C91" i="2"/>
  <c r="C81" i="2"/>
  <c r="C62" i="2"/>
  <c r="C63" i="2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G104" i="2" l="1"/>
  <c r="L408" i="1"/>
  <c r="G637" i="1" s="1"/>
  <c r="J637" i="1" s="1"/>
  <c r="C141" i="2"/>
  <c r="C144" i="2" s="1"/>
  <c r="G635" i="1"/>
  <c r="J635" i="1" s="1"/>
  <c r="G672" i="1"/>
  <c r="C5" i="10" s="1"/>
  <c r="D31" i="13"/>
  <c r="C31" i="13" s="1"/>
  <c r="H672" i="1"/>
  <c r="C6" i="10" s="1"/>
  <c r="L257" i="1"/>
  <c r="L271" i="1" s="1"/>
  <c r="G632" i="1" s="1"/>
  <c r="J632" i="1" s="1"/>
  <c r="E33" i="13"/>
  <c r="D35" i="13" s="1"/>
  <c r="C128" i="2"/>
  <c r="F660" i="1"/>
  <c r="F664" i="1" s="1"/>
  <c r="F672" i="1" s="1"/>
  <c r="C4" i="10" s="1"/>
  <c r="C28" i="10"/>
  <c r="D23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46" i="1"/>
  <c r="J646" i="1" s="1"/>
  <c r="D33" i="13"/>
  <c r="D36" i="13" s="1"/>
  <c r="F667" i="1"/>
  <c r="D21" i="10"/>
  <c r="I660" i="1"/>
  <c r="I664" i="1" s="1"/>
  <c r="I672" i="1" s="1"/>
  <c r="C7" i="10" s="1"/>
  <c r="D13" i="10"/>
  <c r="D15" i="10"/>
  <c r="D19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<sst xmlns="http://schemas.openxmlformats.org/spreadsheetml/2006/main" count="3956" uniqueCount="914">
  <si>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</si>
  <si>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</si>
  <si>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</si>
  <si>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</si>
  <si>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</si>
  <si>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</si>
  <si>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</si>
  <si>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</si>
  <si>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</si>
  <si>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</si>
  <si>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</si>
  <si>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</si>
  <si>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</si>
  <si>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</si>
  <si>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</si>
  <si>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</si>
  <si>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</si>
  <si>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</si>
  <si>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</si>
  <si>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</si>
  <si>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</si>
  <si>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</si>
  <si>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</si>
  <si>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</si>
  <si>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</si>
  <si>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</si>
  <si>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</si>
  <si>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</si>
  <si>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</si>
  <si>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</si>
  <si>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</si>
  <si>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</si>
  <si>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</si>
  <si>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</si>
  <si>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</si>
  <si>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</si>
  <si>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</si>
  <si>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</si>
  <si>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</si>
  <si>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</si>
  <si>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</si>
  <si>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</si>
  <si>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</si>
  <si>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</si>
  <si>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</si>
  <si>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</si>
  <si>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</si>
  <si>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</si>
  <si>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</si>
  <si>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</si>
  <si>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</si>
  <si>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</si>
  <si>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</si>
  <si>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</si>
  <si>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</si>
  <si>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</si>
  <si>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</si>
  <si>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</si>
  <si>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</si>
  <si>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</si>
  <si>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</si>
  <si>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</si>
  <si>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</si>
  <si>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</si>
  <si>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</si>
  <si>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</si>
  <si>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</si>
  <si>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</si>
  <si>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</si>
  <si>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</si>
  <si>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</si>
  <si>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</si>
  <si>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</si>
  <si>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</si>
  <si>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</si>
  <si>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</si>
  <si>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</si>
  <si>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</si>
  <si>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</si>
  <si>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</si>
  <si>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</si>
  <si>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</si>
  <si>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</si>
  <si>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</si>
  <si>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</si>
  <si>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</si>
  <si>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</si>
  <si>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</si>
  <si>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</si>
  <si>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</si>
  <si>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</si>
  <si>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</si>
  <si>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</si>
  <si>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</si>
  <si>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</si>
  <si>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</si>
  <si>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</si>
  <si>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</si>
  <si>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</si>
  <si>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</si>
  <si>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</si>
  <si>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</si>
  <si>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</si>
  <si>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</si>
  <si>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</si>
  <si>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</si>
  <si>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</si>
  <si>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</si>
  <si>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</si>
  <si>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</si>
  <si>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</si>
  <si>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</si>
  <si>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</si>
  <si>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</si>
  <si>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</si>
  <si>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</si>
  <si>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</si>
  <si>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</si>
  <si>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</si>
  <si>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</si>
  <si>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</si>
  <si>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</si>
  <si>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</si>
  <si>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</si>
  <si>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</si>
  <si>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</si>
  <si>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</si>
  <si>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</si>
  <si>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</si>
  <si>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</si>
  <si>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</si>
  <si>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</si>
  <si>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</si>
  <si>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</si>
  <si>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</si>
  <si>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</si>
  <si>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</si>
  <si>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</si>
  <si>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</si>
  <si>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</si>
  <si>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</si>
  <si>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</si>
  <si>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</si>
  <si>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</si>
  <si>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</si>
  <si>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</si>
  <si>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</si>
  <si>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</si>
  <si>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</si>
  <si>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</si>
  <si>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</si>
  <si>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</si>
  <si>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</si>
  <si>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</si>
  <si>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</si>
  <si>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</si>
  <si>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</si>
  <si>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</si>
  <si>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</si>
  <si>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</si>
  <si>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</si>
  <si>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</si>
  <si>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</si>
  <si>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</si>
  <si>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</si>
  <si>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</si>
  <si>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</si>
  <si>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</si>
  <si>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</si>
  <si>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</si>
  <si>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</si>
  <si>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</si>
  <si>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</si>
  <si>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</si>
  <si>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</si>
  <si>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</si>
  <si>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</si>
  <si>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</si>
  <si>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</si>
  <si>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</si>
  <si>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</si>
  <si>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</si>
  <si>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</si>
  <si>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</si>
  <si>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</si>
  <si>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</si>
  <si>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</si>
  <si>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</si>
  <si>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</si>
  <si>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</si>
  <si>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</si>
  <si>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</si>
  <si>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</si>
  <si>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</si>
  <si>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</si>
  <si>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</si>
  <si>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</si>
  <si>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</si>
  <si>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</si>
  <si>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</si>
  <si>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</si>
  <si>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</si>
  <si>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</si>
  <si>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</si>
  <si>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</si>
  <si>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</si>
  <si>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</si>
  <si>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</si>
  <si>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</si>
  <si>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</si>
  <si>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</si>
  <si>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</si>
  <si>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</si>
  <si>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</si>
  <si>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</si>
  <si>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</si>
  <si>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</si>
  <si>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</si>
  <si>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</si>
  <si>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</si>
  <si>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</si>
  <si>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</si>
  <si>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</si>
  <si>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</si>
  <si>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</si>
  <si>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</si>
  <si>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</si>
  <si>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</si>
  <si>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</si>
  <si>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</si>
  <si>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</si>
  <si>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</si>
  <si>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</si>
  <si>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</si>
  <si>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</si>
  <si>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</si>
  <si>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</si>
  <si>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</si>
  <si>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</si>
  <si>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</si>
  <si>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</si>
  <si>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</si>
  <si>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</si>
  <si>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</si>
  <si>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</si>
  <si>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</si>
  <si>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</si>
  <si>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</si>
  <si>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</si>
  <si>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</si>
  <si>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</si>
  <si>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</si>
  <si>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</si>
  <si>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</si>
  <si>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</si>
  <si>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</si>
  <si>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</si>
  <si>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</si>
  <si>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</si>
  <si>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</si>
  <si>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</si>
  <si>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</si>
  <si>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</si>
  <si>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</si>
  <si>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</si>
  <si>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</si>
  <si>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</si>
  <si>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</si>
  <si>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</si>
  <si>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</si>
  <si>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</si>
  <si>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</si>
  <si>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</si>
  <si>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</si>
  <si>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</si>
  <si>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</si>
  <si>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</si>
  <si>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</si>
  <si>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</si>
  <si>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</si>
  <si>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</si>
  <si>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</si>
  <si>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</si>
  <si>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</si>
  <si>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</si>
  <si>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</si>
  <si>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</si>
  <si>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</si>
  <si>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</si>
  <si>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</si>
  <si>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</si>
  <si>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</si>
  <si>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</si>
  <si>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</si>
  <si>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</si>
  <si>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</si>
  <si>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</si>
  <si>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</si>
  <si>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</si>
  <si>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</si>
  <si>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</si>
  <si>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</si>
  <si>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</si>
  <si>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</si>
  <si>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</si>
  <si>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</si>
  <si>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</si>
  <si>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</si>
  <si>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</si>
  <si>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</si>
  <si>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</si>
  <si>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</si>
  <si>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</si>
  <si>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</si>
  <si>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</si>
  <si>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</si>
  <si>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</si>
  <si>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</si>
  <si>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</si>
  <si>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</si>
  <si>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</si>
  <si>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</si>
  <si>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</si>
  <si>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</si>
  <si>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</si>
  <si>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</si>
  <si>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</si>
  <si>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</si>
  <si>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</si>
  <si>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</si>
  <si>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</si>
  <si>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</si>
  <si>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</si>
  <si>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</si>
  <si>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</si>
  <si>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</si>
  <si>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</si>
  <si>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</si>
  <si>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</si>
  <si>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</si>
  <si>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</si>
  <si>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</si>
  <si>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</si>
  <si>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</si>
  <si>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</si>
  <si>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</si>
  <si>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</si>
  <si>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</si>
  <si>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</si>
  <si>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</si>
  <si>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</si>
  <si>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</si>
  <si>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</si>
  <si>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</si>
  <si>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</si>
  <si>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</si>
  <si>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</si>
  <si>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</si>
  <si>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</si>
  <si>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</si>
  <si>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</si>
  <si>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</si>
  <si>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</si>
  <si>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</si>
  <si>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</si>
  <si>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</si>
  <si>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</si>
  <si>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</si>
  <si>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</si>
  <si>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</si>
  <si>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</si>
  <si>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</si>
  <si>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</si>
  <si>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</si>
  <si>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</si>
  <si>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</si>
  <si>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</si>
  <si>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</si>
  <si>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</si>
  <si>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</si>
  <si>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</si>
  <si>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</si>
  <si>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</si>
  <si>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</si>
  <si>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</si>
  <si>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</si>
  <si>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</si>
  <si>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</si>
  <si>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</si>
  <si>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</si>
  <si>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</si>
  <si>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</si>
  <si>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</si>
  <si>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</si>
  <si>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</si>
  <si>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</si>
  <si>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</si>
  <si>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</si>
  <si>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</si>
  <si>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</si>
  <si>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</si>
  <si>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</si>
  <si>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</si>
  <si>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</si>
  <si>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</si>
  <si>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</si>
  <si>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</si>
  <si>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</si>
  <si>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</si>
  <si>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</si>
  <si>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</si>
  <si>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</si>
  <si>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</si>
  <si>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</si>
  <si>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</si>
  <si>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</si>
  <si>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</si>
  <si>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</si>
  <si>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</si>
  <si>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</si>
  <si>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</si>
  <si>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</si>
  <si>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</si>
  <si>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</si>
  <si>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</si>
  <si>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</si>
  <si>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</si>
  <si>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</si>
  <si>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</si>
  <si>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</si>
  <si>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</si>
  <si>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</si>
  <si>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</si>
  <si>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</si>
  <si>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</si>
  <si>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</si>
  <si>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</si>
  <si>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</si>
  <si>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</si>
  <si>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</si>
  <si>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</si>
  <si>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</si>
  <si>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</si>
  <si>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</si>
  <si>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</si>
  <si>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</si>
  <si>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</si>
  <si>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</si>
  <si>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</si>
  <si>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</si>
  <si>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</si>
  <si>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</si>
  <si>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</si>
  <si>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</si>
  <si>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</si>
  <si>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</si>
  <si>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</si>
  <si>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</si>
  <si>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</si>
  <si>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</si>
  <si>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</si>
  <si>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</si>
  <si>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</si>
  <si>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</si>
  <si>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</si>
  <si>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</si>
  <si>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</si>
  <si>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</si>
  <si>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</si>
  <si>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</si>
  <si>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</si>
  <si>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</si>
  <si>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</si>
  <si>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</si>
  <si>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</si>
  <si>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</si>
  <si>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</si>
  <si>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</si>
  <si>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</si>
  <si>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</si>
  <si>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</si>
  <si>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</si>
  <si>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</si>
  <si>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</si>
  <si>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</si>
  <si>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</si>
  <si>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</si>
  <si>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</si>
  <si>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</si>
  <si>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</si>
  <si>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</si>
  <si>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</si>
  <si>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</si>
  <si>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</si>
  <si>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</si>
  <si>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</si>
  <si>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</si>
  <si>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</si>
  <si>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</si>
  <si>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</si>
  <si>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</si>
  <si>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</si>
  <si>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</si>
  <si>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</si>
  <si>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</si>
  <si>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</si>
  <si>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</si>
  <si>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</si>
  <si>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</si>
  <si>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</si>
  <si>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</si>
  <si>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</si>
  <si>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</si>
  <si>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</si>
  <si>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</si>
  <si>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</si>
  <si>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</si>
  <si>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</si>
  <si>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</si>
  <si>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</si>
  <si>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</si>
  <si>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</si>
  <si>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</si>
  <si>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</si>
  <si>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</si>
  <si>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</si>
  <si>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</si>
  <si>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</si>
  <si>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</si>
  <si>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</si>
  <si>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</si>
  <si>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</si>
  <si>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</si>
  <si>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</si>
  <si>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</si>
  <si>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</si>
  <si>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</si>
  <si>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</si>
  <si>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</si>
  <si>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</si>
  <si>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</si>
  <si>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</si>
  <si>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</si>
  <si>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</si>
  <si>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</si>
  <si>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</si>
  <si>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</si>
  <si>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</si>
  <si>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</si>
  <si>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</si>
  <si>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</si>
  <si>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</si>
  <si>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</si>
  <si>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</si>
  <si>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</si>
  <si>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</si>
  <si>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</si>
  <si>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</si>
  <si>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</si>
  <si>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</si>
  <si>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</si>
  <si>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</si>
  <si>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</si>
  <si>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</si>
  <si>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</si>
  <si>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</si>
  <si>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</si>
  <si>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</si>
  <si>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</si>
  <si>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</si>
  <si>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</si>
  <si>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</si>
  <si>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</si>
  <si>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</si>
  <si>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</si>
  <si>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</si>
  <si>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</si>
  <si>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</si>
  <si>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</si>
  <si>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</si>
  <si>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</si>
  <si>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</si>
  <si>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</si>
  <si>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</si>
  <si>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</si>
  <si>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</si>
  <si>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</si>
  <si>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</si>
  <si>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</si>
  <si>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</si>
  <si>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</si>
  <si>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</si>
  <si>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</si>
  <si>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</si>
  <si>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</si>
  <si>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</si>
  <si>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</si>
  <si>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</si>
  <si>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</si>
  <si>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</si>
  <si>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</si>
  <si>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</si>
  <si>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</si>
  <si>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</si>
  <si>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</si>
  <si>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</si>
  <si>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</si>
  <si>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</si>
  <si>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</si>
  <si>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</si>
  <si>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</si>
  <si>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</si>
  <si>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</si>
  <si>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</si>
  <si>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</si>
  <si>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</si>
  <si>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</si>
  <si>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</si>
  <si>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</si>
  <si>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</si>
  <si>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</si>
  <si>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</si>
  <si>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</si>
  <si>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</si>
  <si>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</si>
  <si>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</si>
  <si>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</si>
  <si>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</si>
  <si>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</si>
  <si>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</si>
  <si>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</si>
  <si>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</si>
  <si>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</si>
  <si>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</si>
  <si>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</si>
  <si>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</si>
  <si>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</si>
  <si>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</si>
  <si>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</si>
  <si>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</si>
  <si>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</si>
  <si>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</si>
  <si>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</si>
  <si>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</si>
  <si>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</si>
  <si>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</si>
  <si>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</si>
  <si>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</si>
  <si>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</si>
  <si>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</si>
  <si>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</si>
  <si>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</si>
  <si>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</si>
  <si>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</si>
  <si>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</si>
  <si>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</si>
  <si>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</si>
  <si>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</si>
  <si>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</si>
  <si>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</si>
  <si>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</si>
  <si>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</si>
  <si>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</si>
  <si>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</si>
  <si>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</si>
  <si>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</si>
  <si>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</si>
  <si>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</si>
  <si>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</si>
  <si>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</si>
  <si>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</si>
  <si>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</si>
  <si>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</si>
  <si>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</si>
  <si>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</si>
  <si>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</si>
  <si>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</si>
  <si>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</si>
  <si>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</si>
  <si>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</si>
  <si>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</si>
  <si>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</si>
  <si>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</si>
  <si>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</si>
  <si>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</si>
  <si>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</si>
  <si>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</si>
  <si>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</si>
  <si>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</si>
  <si>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</si>
  <si>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</si>
  <si>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</si>
  <si>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</si>
  <si>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</si>
  <si>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</si>
  <si>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</si>
  <si>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</si>
  <si>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</si>
  <si>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</si>
  <si>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</si>
  <si>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</si>
  <si>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</si>
  <si>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</si>
  <si>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</si>
  <si>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</si>
  <si>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</si>
  <si>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</si>
  <si>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</si>
  <si>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</si>
  <si>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</si>
  <si>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</si>
  <si>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</si>
  <si>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</si>
  <si>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</si>
  <si>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</si>
  <si>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</si>
  <si>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</si>
  <si>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</si>
  <si>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</si>
  <si>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</si>
  <si>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</si>
  <si>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</si>
  <si>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</si>
  <si>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</si>
  <si>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</si>
  <si>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</si>
  <si>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</si>
  <si>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</si>
  <si>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</si>
  <si>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</si>
  <si>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</si>
  <si>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</si>
  <si>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</si>
  <si>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</si>
  <si>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</si>
  <si>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</si>
  <si>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</si>
  <si>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</si>
  <si>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</si>
  <si>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</si>
  <si>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</si>
  <si>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</si>
  <si>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</si>
  <si>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</si>
  <si>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</si>
  <si>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</si>
  <si>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</si>
  <si>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</si>
  <si>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</si>
  <si>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</si>
  <si>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</si>
  <si>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</si>
  <si>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</si>
  <si>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</si>
  <si>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</si>
  <si>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</si>
  <si>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</si>
  <si>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</si>
  <si>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</si>
  <si>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</si>
  <si>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</si>
  <si>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</si>
  <si>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</si>
  <si>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</si>
  <si>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</si>
  <si>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</si>
  <si>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</si>
  <si>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</si>
  <si>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</si>
  <si>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</si>
  <si>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</si>
  <si>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</si>
  <si>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</si>
  <si>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</si>
  <si>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</si>
  <si>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</si>
  <si>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</si>
  <si>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</si>
  <si>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</si>
  <si>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</si>
  <si>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</si>
  <si>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</si>
  <si>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</si>
  <si>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</si>
  <si>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</si>
  <si>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</si>
  <si>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</si>
  <si>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</si>
  <si>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</si>
  <si>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</si>
  <si>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</si>
  <si>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</si>
  <si>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</si>
  <si>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</si>
  <si>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</si>
  <si>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</si>
  <si>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</si>
  <si>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</si>
  <si>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</si>
  <si>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</si>
  <si>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</si>
  <si>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</si>
  <si>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</si>
  <si>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</si>
  <si>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</si>
  <si>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</si>
  <si>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</si>
  <si>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</si>
  <si>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</si>
  <si>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</si>
  <si>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</si>
  <si>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</si>
  <si>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</si>
  <si>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</si>
  <si>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</si>
  <si>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</si>
  <si>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</si>
  <si>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</si>
  <si>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</si>
  <si>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</si>
  <si>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</si>
  <si>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</si>
  <si>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</si>
  <si>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</si>
  <si>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</si>
  <si>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</si>
  <si>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</si>
  <si>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</si>
  <si>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</si>
  <si>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</si>
  <si>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</si>
  <si>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</si>
  <si>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</si>
  <si>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</si>
  <si>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</si>
  <si>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</si>
  <si>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</si>
  <si>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</si>
  <si>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</si>
  <si>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</si>
  <si>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</si>
  <si>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</si>
  <si>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</si>
  <si>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</si>
  <si>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</si>
  <si>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</si>
  <si>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</si>
  <si>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</si>
  <si>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</si>
  <si>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</si>
  <si>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</si>
  <si>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</si>
  <si>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</si>
  <si>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</si>
  <si>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</si>
  <si>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</si>
  <si>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</si>
  <si>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</si>
  <si>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</si>
  <si>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</si>
  <si>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</si>
  <si>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</si>
  <si>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</si>
  <si>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</si>
  <si>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</si>
  <si>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</si>
  <si>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</si>
  <si>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</si>
  <si>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</si>
  <si>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</si>
  <si>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</si>
  <si>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</si>
  <si>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</si>
  <si>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</si>
  <si>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</si>
  <si>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</si>
  <si>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</si>
  <si>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</si>
  <si>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</si>
  <si>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</si>
  <si>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</si>
  <si>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</si>
  <si>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</si>
  <si>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</si>
  <si>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</si>
  <si>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</si>
  <si>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</si>
  <si>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</si>
  <si>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</si>
  <si>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</si>
  <si>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</si>
  <si>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</si>
  <si>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</si>
  <si>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</si>
  <si>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</si>
  <si>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</si>
  <si>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</si>
  <si>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</si>
  <si>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</si>
  <si>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</si>
  <si>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</si>
  <si>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</si>
  <si>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</si>
  <si>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</si>
  <si>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</si>
  <si>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</si>
  <si>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</si>
  <si>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</si>
  <si>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</si>
  <si>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</si>
  <si>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</si>
  <si>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Errol</t>
  </si>
  <si>
    <t>LGC Settlement as follows - $2,710.61:</t>
  </si>
  <si>
    <t>Property - $275.26; Dental $147.87; and Health $2,287.48.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</si>
</sst>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171</v>
      </c>
      <c r="C2" s="21">
        <v>171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21601.39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38776.5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9394.4599999999991</v>
      </c>
      <c r="G12" s="18"/>
      <c r="H12" s="18"/>
      <c r="I12" s="18"/>
      <c r="J12" s="67">
        <f>SUM(I441)</f>
        <v>140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506.25</v>
      </c>
      <c r="G13" s="18">
        <v>142.66999999999999</v>
      </c>
      <c r="H13" s="18">
        <v>10897.03</v>
      </c>
      <c r="I13" s="18"/>
      <c r="J13" s="67">
        <f>SUM(I442)</f>
        <v>195873.05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70278.600000000006</v>
      </c>
      <c r="G19" s="41">
        <f>SUM(G9:G18)</f>
        <v>142.66999999999999</v>
      </c>
      <c r="H19" s="41">
        <f>SUM(H9:H18)</f>
        <v>10897.03</v>
      </c>
      <c r="I19" s="41">
        <f>SUM(I9:I18)</f>
        <v>0</v>
      </c>
      <c r="J19" s="41">
        <f>SUM(J9:J18)</f>
        <v>196013.05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117.89</v>
      </c>
      <c r="H22" s="18">
        <v>9416.57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1407.08</v>
      </c>
      <c r="G24" s="18">
        <v>8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1781.93</v>
      </c>
      <c r="G28" s="18">
        <v>16.78</v>
      </c>
      <c r="H28" s="18">
        <v>521.21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959.25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3189.01</v>
      </c>
      <c r="G32" s="41">
        <f>SUM(G22:G31)</f>
        <v>142.67000000000002</v>
      </c>
      <c r="H32" s="41">
        <f>SUM(H22:H31)</f>
        <v>10897.029999999999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20474.75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2292.5300000000002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175538.3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58797.06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67089.59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196013.05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70278.599999999991</v>
      </c>
      <c r="G52" s="41">
        <f>G51+G32</f>
        <v>142.67000000000002</v>
      </c>
      <c r="H52" s="41">
        <f>H51+H32</f>
        <v>10897.029999999999</v>
      </c>
      <c r="I52" s="41">
        <f>I51+I32</f>
        <v>0</v>
      </c>
      <c r="J52" s="41">
        <f>J51+J32</f>
        <v>196013.05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253586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253586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31338.01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31338.01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33</v>
      </c>
      <c r="G96" s="18"/>
      <c r="H96" s="18"/>
      <c r="I96" s="18"/>
      <c r="J96" s="18">
        <v>18.510000000000002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8448.7199999999993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1304.6199999999999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3549.82</v>
      </c>
      <c r="G110" s="18">
        <v>462</v>
      </c>
      <c r="H110" s="18">
        <v>645</v>
      </c>
      <c r="I110" s="18"/>
      <c r="J110" s="18">
        <v>140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3582.82</v>
      </c>
      <c r="G111" s="41">
        <f>SUM(G96:G110)</f>
        <v>8910.7199999999993</v>
      </c>
      <c r="H111" s="41">
        <f>SUM(H96:H110)</f>
        <v>1949.62</v>
      </c>
      <c r="I111" s="41">
        <f>SUM(I96:I110)</f>
        <v>0</v>
      </c>
      <c r="J111" s="41">
        <f>SUM(J96:J110)</f>
        <v>158.51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288506.83</v>
      </c>
      <c r="G112" s="41">
        <f>G60+G111</f>
        <v>8910.7199999999993</v>
      </c>
      <c r="H112" s="41">
        <f>H60+H79+H94+H111</f>
        <v>1949.62</v>
      </c>
      <c r="I112" s="41">
        <f>I60+I111</f>
        <v>0</v>
      </c>
      <c r="J112" s="41">
        <f>J60+J111</f>
        <v>158.51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14426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189753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204179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158.41999999999999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158.41999999999999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204179</v>
      </c>
      <c r="G140" s="41">
        <f>G121+SUM(G136:G137)</f>
        <v>158.41999999999999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18251.32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4526.38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3032.66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5896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5418.64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1581.29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5418.64</v>
      </c>
      <c r="G162" s="41">
        <f>SUM(G150:G161)</f>
        <v>4613.95</v>
      </c>
      <c r="H162" s="41">
        <f>SUM(H150:H161)</f>
        <v>28673.7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3271.73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8690.3700000000008</v>
      </c>
      <c r="G169" s="41">
        <f>G147+G162+SUM(G163:G168)</f>
        <v>4613.95</v>
      </c>
      <c r="H169" s="41">
        <f>H147+H162+SUM(H163:H168)</f>
        <v>28673.7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9229.2900000000009</v>
      </c>
      <c r="H179" s="18"/>
      <c r="I179" s="18"/>
      <c r="J179" s="18">
        <v>26000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9229.2900000000009</v>
      </c>
      <c r="H183" s="41">
        <f>SUM(H179:H182)</f>
        <v>0</v>
      </c>
      <c r="I183" s="41">
        <f>SUM(I179:I182)</f>
        <v>0</v>
      </c>
      <c r="J183" s="41">
        <f>SUM(J179:J182)</f>
        <v>26000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9229.2900000000009</v>
      </c>
      <c r="H192" s="41">
        <f>+H183+SUM(H188:H191)</f>
        <v>0</v>
      </c>
      <c r="I192" s="41">
        <f>I177+I183+SUM(I188:I191)</f>
        <v>0</v>
      </c>
      <c r="J192" s="41">
        <f>J183</f>
        <v>26000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501376.2</v>
      </c>
      <c r="G193" s="47">
        <f>G112+G140+G169+G192</f>
        <v>22912.38</v>
      </c>
      <c r="H193" s="47">
        <f>H112+H140+H169+H192</f>
        <v>30623.32</v>
      </c>
      <c r="I193" s="47">
        <f>I112+I140+I169+I192</f>
        <v>0</v>
      </c>
      <c r="J193" s="47">
        <f>J112+J140+J192</f>
        <v>26158.51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109135.97</v>
      </c>
      <c r="G197" s="18">
        <v>59685.98</v>
      </c>
      <c r="H197" s="18">
        <v>315.29000000000002</v>
      </c>
      <c r="I197" s="18">
        <v>7448.9</v>
      </c>
      <c r="J197" s="18">
        <v>731.08</v>
      </c>
      <c r="K197" s="18"/>
      <c r="L197" s="19">
        <f>SUM(F197:K197)</f>
        <v>177317.22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24217.11</v>
      </c>
      <c r="G198" s="18">
        <v>2420.9299999999998</v>
      </c>
      <c r="H198" s="18">
        <v>70.98</v>
      </c>
      <c r="I198" s="18">
        <v>115.11</v>
      </c>
      <c r="J198" s="18"/>
      <c r="K198" s="18"/>
      <c r="L198" s="19">
        <f>SUM(F198:K198)</f>
        <v>26824.13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492.4</v>
      </c>
      <c r="G200" s="18">
        <v>41.74</v>
      </c>
      <c r="H200" s="18"/>
      <c r="I200" s="18"/>
      <c r="J200" s="18"/>
      <c r="K200" s="18"/>
      <c r="L200" s="19">
        <f>SUM(F200:K200)</f>
        <v>534.14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8818.0300000000007</v>
      </c>
      <c r="G202" s="18">
        <v>4262.33</v>
      </c>
      <c r="H202" s="18">
        <v>19605.2</v>
      </c>
      <c r="I202" s="18">
        <v>262.88</v>
      </c>
      <c r="J202" s="18"/>
      <c r="K202" s="18"/>
      <c r="L202" s="19">
        <f t="shared" ref="L202:L208" si="0">SUM(F202:K202)</f>
        <v>32948.44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1100.3499999999999</v>
      </c>
      <c r="G203" s="18">
        <v>127.51</v>
      </c>
      <c r="H203" s="18">
        <v>2.76</v>
      </c>
      <c r="I203" s="18">
        <v>703.45</v>
      </c>
      <c r="J203" s="18"/>
      <c r="K203" s="18">
        <v>100.8</v>
      </c>
      <c r="L203" s="19">
        <f t="shared" si="0"/>
        <v>2034.87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1190.6600000000001</v>
      </c>
      <c r="G204" s="18">
        <v>93.19</v>
      </c>
      <c r="H204" s="18">
        <v>49421.63</v>
      </c>
      <c r="I204" s="18">
        <v>348.32</v>
      </c>
      <c r="J204" s="18"/>
      <c r="K204" s="18">
        <v>1916.27</v>
      </c>
      <c r="L204" s="19">
        <f t="shared" si="0"/>
        <v>52970.069999999992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32780.44</v>
      </c>
      <c r="G205" s="18">
        <v>14457.06</v>
      </c>
      <c r="H205" s="18">
        <v>3424.21</v>
      </c>
      <c r="I205" s="18">
        <v>491.72</v>
      </c>
      <c r="J205" s="18"/>
      <c r="K205" s="18">
        <v>835.2</v>
      </c>
      <c r="L205" s="19">
        <f t="shared" si="0"/>
        <v>51988.63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9660.1200000000008</v>
      </c>
      <c r="G207" s="18">
        <v>925.58</v>
      </c>
      <c r="H207" s="18">
        <v>10863.73</v>
      </c>
      <c r="I207" s="18">
        <v>11200.76</v>
      </c>
      <c r="J207" s="18"/>
      <c r="K207" s="18"/>
      <c r="L207" s="19">
        <f t="shared" si="0"/>
        <v>32650.190000000002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>
        <v>45</v>
      </c>
      <c r="H208" s="18">
        <v>19000</v>
      </c>
      <c r="I208" s="18"/>
      <c r="J208" s="18"/>
      <c r="K208" s="18"/>
      <c r="L208" s="19">
        <f t="shared" si="0"/>
        <v>19045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187395.08000000002</v>
      </c>
      <c r="G211" s="41">
        <f t="shared" si="1"/>
        <v>82059.319999999992</v>
      </c>
      <c r="H211" s="41">
        <f t="shared" si="1"/>
        <v>102703.8</v>
      </c>
      <c r="I211" s="41">
        <f t="shared" si="1"/>
        <v>20571.14</v>
      </c>
      <c r="J211" s="41">
        <f t="shared" si="1"/>
        <v>731.08</v>
      </c>
      <c r="K211" s="41">
        <f t="shared" si="1"/>
        <v>2852.27</v>
      </c>
      <c r="L211" s="41">
        <f t="shared" si="1"/>
        <v>396312.69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15173</v>
      </c>
      <c r="I233" s="18"/>
      <c r="J233" s="18"/>
      <c r="K233" s="18"/>
      <c r="L233" s="19">
        <f>SUM(F233:K233)</f>
        <v>15173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109.34</v>
      </c>
      <c r="G240" s="18">
        <v>8.56</v>
      </c>
      <c r="H240" s="18">
        <v>4538.3</v>
      </c>
      <c r="I240" s="18">
        <v>31.99</v>
      </c>
      <c r="J240" s="18"/>
      <c r="K240" s="18">
        <v>175.97</v>
      </c>
      <c r="L240" s="19">
        <f t="shared" si="4"/>
        <v>4864.16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109.34</v>
      </c>
      <c r="G247" s="41">
        <f t="shared" si="5"/>
        <v>8.56</v>
      </c>
      <c r="H247" s="41">
        <f t="shared" si="5"/>
        <v>19711.3</v>
      </c>
      <c r="I247" s="41">
        <f t="shared" si="5"/>
        <v>31.99</v>
      </c>
      <c r="J247" s="41">
        <f t="shared" si="5"/>
        <v>0</v>
      </c>
      <c r="K247" s="41">
        <f t="shared" si="5"/>
        <v>175.97</v>
      </c>
      <c r="L247" s="41">
        <f t="shared" si="5"/>
        <v>20037.16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187504.42</v>
      </c>
      <c r="G257" s="41">
        <f t="shared" si="8"/>
        <v>82067.87999999999</v>
      </c>
      <c r="H257" s="41">
        <f t="shared" si="8"/>
        <v>122415.1</v>
      </c>
      <c r="I257" s="41">
        <f t="shared" si="8"/>
        <v>20603.13</v>
      </c>
      <c r="J257" s="41">
        <f t="shared" si="8"/>
        <v>731.08</v>
      </c>
      <c r="K257" s="41">
        <f t="shared" si="8"/>
        <v>3028.24</v>
      </c>
      <c r="L257" s="41">
        <f t="shared" si="8"/>
        <v>416349.85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9229.2900000000009</v>
      </c>
      <c r="L263" s="19">
        <f>SUM(F263:K263)</f>
        <v>9229.2900000000009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26000</v>
      </c>
      <c r="L266" s="19">
        <f t="shared" si="9"/>
        <v>26000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35229.29</v>
      </c>
      <c r="L270" s="41">
        <f t="shared" si="9"/>
        <v>35229.29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187504.42</v>
      </c>
      <c r="G271" s="42">
        <f t="shared" si="11"/>
        <v>82067.87999999999</v>
      </c>
      <c r="H271" s="42">
        <f t="shared" si="11"/>
        <v>122415.1</v>
      </c>
      <c r="I271" s="42">
        <f t="shared" si="11"/>
        <v>20603.13</v>
      </c>
      <c r="J271" s="42">
        <f t="shared" si="11"/>
        <v>731.08</v>
      </c>
      <c r="K271" s="42">
        <f t="shared" si="11"/>
        <v>38257.53</v>
      </c>
      <c r="L271" s="42">
        <f t="shared" si="11"/>
        <v>451579.13999999996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4143.5</v>
      </c>
      <c r="I276" s="18">
        <v>4584.83</v>
      </c>
      <c r="J276" s="18">
        <v>7660.72</v>
      </c>
      <c r="K276" s="18"/>
      <c r="L276" s="19">
        <f>SUM(F276:K276)</f>
        <v>16389.05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5278.42</v>
      </c>
      <c r="G277" s="18"/>
      <c r="H277" s="18"/>
      <c r="I277" s="18"/>
      <c r="J277" s="18"/>
      <c r="K277" s="18"/>
      <c r="L277" s="19">
        <f>SUM(F277:K277)</f>
        <v>5278.42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1928.14</v>
      </c>
      <c r="G282" s="18">
        <v>336.74</v>
      </c>
      <c r="H282" s="18">
        <v>2053.1799999999998</v>
      </c>
      <c r="I282" s="18"/>
      <c r="J282" s="18"/>
      <c r="K282" s="18">
        <v>525</v>
      </c>
      <c r="L282" s="19">
        <f t="shared" si="12"/>
        <v>4843.0599999999995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1372</v>
      </c>
      <c r="I287" s="18"/>
      <c r="J287" s="18"/>
      <c r="K287" s="18"/>
      <c r="L287" s="19">
        <f t="shared" si="12"/>
        <v>1372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7206.56</v>
      </c>
      <c r="G290" s="42">
        <f t="shared" si="13"/>
        <v>336.74</v>
      </c>
      <c r="H290" s="42">
        <f t="shared" si="13"/>
        <v>7568.68</v>
      </c>
      <c r="I290" s="42">
        <f t="shared" si="13"/>
        <v>4584.83</v>
      </c>
      <c r="J290" s="42">
        <f t="shared" si="13"/>
        <v>7660.72</v>
      </c>
      <c r="K290" s="42">
        <f t="shared" si="13"/>
        <v>525</v>
      </c>
      <c r="L290" s="41">
        <f t="shared" si="13"/>
        <v>27882.53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7206.56</v>
      </c>
      <c r="G338" s="41">
        <f t="shared" si="20"/>
        <v>336.74</v>
      </c>
      <c r="H338" s="41">
        <f t="shared" si="20"/>
        <v>7568.68</v>
      </c>
      <c r="I338" s="41">
        <f t="shared" si="20"/>
        <v>4584.83</v>
      </c>
      <c r="J338" s="41">
        <f t="shared" si="20"/>
        <v>7660.72</v>
      </c>
      <c r="K338" s="41">
        <f t="shared" si="20"/>
        <v>525</v>
      </c>
      <c r="L338" s="41">
        <f t="shared" si="20"/>
        <v>27882.53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2740.79</v>
      </c>
      <c r="L350" s="19">
        <f t="shared" si="21"/>
        <v>2740.79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2740.79</v>
      </c>
      <c r="L351" s="41">
        <f>SUM(L341:L350)</f>
        <v>2740.79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7206.56</v>
      </c>
      <c r="G352" s="41">
        <f>G338</f>
        <v>336.74</v>
      </c>
      <c r="H352" s="41">
        <f>H338</f>
        <v>7568.68</v>
      </c>
      <c r="I352" s="41">
        <f>I338</f>
        <v>4584.83</v>
      </c>
      <c r="J352" s="41">
        <f>J338</f>
        <v>7660.72</v>
      </c>
      <c r="K352" s="47">
        <f>K338+K351</f>
        <v>3265.79</v>
      </c>
      <c r="L352" s="41">
        <f>L338+L351</f>
        <v>30623.32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14266.17</v>
      </c>
      <c r="G358" s="18">
        <v>1360.63</v>
      </c>
      <c r="H358" s="18"/>
      <c r="I358" s="18">
        <v>7285.58</v>
      </c>
      <c r="J358" s="18"/>
      <c r="K358" s="18"/>
      <c r="L358" s="13">
        <f>SUM(F358:K358)</f>
        <v>22912.379999999997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14266.17</v>
      </c>
      <c r="G362" s="47">
        <f t="shared" si="22"/>
        <v>1360.63</v>
      </c>
      <c r="H362" s="47">
        <f t="shared" si="22"/>
        <v>0</v>
      </c>
      <c r="I362" s="47">
        <f t="shared" si="22"/>
        <v>7285.58</v>
      </c>
      <c r="J362" s="47">
        <f t="shared" si="22"/>
        <v>0</v>
      </c>
      <c r="K362" s="47">
        <f t="shared" si="22"/>
        <v>0</v>
      </c>
      <c r="L362" s="47">
        <f t="shared" si="22"/>
        <v>22912.379999999997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6239.1</v>
      </c>
      <c r="G367" s="18"/>
      <c r="H367" s="18"/>
      <c r="I367" s="56">
        <f>SUM(F367:H367)</f>
        <v>6239.1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567.2+479.28</f>
        <v>1046.48</v>
      </c>
      <c r="G368" s="63"/>
      <c r="H368" s="63"/>
      <c r="I368" s="56">
        <f>SUM(F368:H368)</f>
        <v>1046.48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7285.58</v>
      </c>
      <c r="G369" s="47">
        <f>SUM(G367:G368)</f>
        <v>0</v>
      </c>
      <c r="H369" s="47">
        <f>SUM(H367:H368)</f>
        <v>0</v>
      </c>
      <c r="I369" s="47">
        <f>SUM(I367:I368)</f>
        <v>7285.58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5000</v>
      </c>
      <c r="H389" s="18">
        <v>1.77</v>
      </c>
      <c r="I389" s="18"/>
      <c r="J389" s="24" t="s">
        <v>289</v>
      </c>
      <c r="K389" s="24" t="s">
        <v>289</v>
      </c>
      <c r="L389" s="56">
        <f t="shared" si="25"/>
        <v>5001.7700000000004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1.06</v>
      </c>
      <c r="I391" s="18"/>
      <c r="J391" s="24" t="s">
        <v>289</v>
      </c>
      <c r="K391" s="24" t="s">
        <v>289</v>
      </c>
      <c r="L391" s="56">
        <f t="shared" si="25"/>
        <v>1.06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</v>
      </c>
      <c r="H393" s="139">
        <f>SUM(H387:H392)</f>
        <v>2.83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5002.8300000000008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20000</v>
      </c>
      <c r="H398" s="18">
        <v>12.23</v>
      </c>
      <c r="I398" s="18"/>
      <c r="J398" s="24" t="s">
        <v>289</v>
      </c>
      <c r="K398" s="24" t="s">
        <v>289</v>
      </c>
      <c r="L398" s="56">
        <f t="shared" si="26"/>
        <v>20012.23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1.31</v>
      </c>
      <c r="I399" s="18"/>
      <c r="J399" s="24" t="s">
        <v>289</v>
      </c>
      <c r="K399" s="24" t="s">
        <v>289</v>
      </c>
      <c r="L399" s="56">
        <f t="shared" si="26"/>
        <v>1.31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</v>
      </c>
      <c r="H400" s="18">
        <v>2.14</v>
      </c>
      <c r="I400" s="18">
        <v>140</v>
      </c>
      <c r="J400" s="24" t="s">
        <v>289</v>
      </c>
      <c r="K400" s="24" t="s">
        <v>289</v>
      </c>
      <c r="L400" s="56">
        <f t="shared" si="26"/>
        <v>1142.1399999999999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21000</v>
      </c>
      <c r="H401" s="47">
        <f>SUM(H395:H400)</f>
        <v>15.680000000000001</v>
      </c>
      <c r="I401" s="47">
        <f>SUM(I395:I400)</f>
        <v>140</v>
      </c>
      <c r="J401" s="45" t="s">
        <v>289</v>
      </c>
      <c r="K401" s="45" t="s">
        <v>289</v>
      </c>
      <c r="L401" s="47">
        <f>SUM(L395:L400)</f>
        <v>21155.68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26000</v>
      </c>
      <c r="H408" s="47">
        <f>H393+H401+H407</f>
        <v>18.510000000000002</v>
      </c>
      <c r="I408" s="47">
        <f>I393+I401+I407</f>
        <v>140</v>
      </c>
      <c r="J408" s="24" t="s">
        <v>289</v>
      </c>
      <c r="K408" s="24" t="s">
        <v>289</v>
      </c>
      <c r="L408" s="47">
        <f>L393+L401+L407</f>
        <v>26158.510000000002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13977.46</v>
      </c>
      <c r="L415" s="56">
        <f t="shared" si="27"/>
        <v>13977.46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13977.46</v>
      </c>
      <c r="L419" s="47">
        <f t="shared" si="28"/>
        <v>13977.46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13977.46</v>
      </c>
      <c r="L434" s="47">
        <f t="shared" si="32"/>
        <v>13977.46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140</v>
      </c>
      <c r="H441" s="18"/>
      <c r="I441" s="56">
        <f t="shared" si="33"/>
        <v>140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27597.8</v>
      </c>
      <c r="G442" s="18">
        <v>168275.25</v>
      </c>
      <c r="H442" s="18"/>
      <c r="I442" s="56">
        <f t="shared" si="33"/>
        <v>195873.05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27597.8</v>
      </c>
      <c r="G446" s="13">
        <f>SUM(G439:G445)</f>
        <v>168415.25</v>
      </c>
      <c r="H446" s="13">
        <f>SUM(H439:H445)</f>
        <v>0</v>
      </c>
      <c r="I446" s="13">
        <f>SUM(I439:I445)</f>
        <v>196013.05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>
        <v>20474.75</v>
      </c>
      <c r="H457" s="18"/>
      <c r="I457" s="56">
        <f t="shared" si="34"/>
        <v>20474.75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27597.8</v>
      </c>
      <c r="G459" s="18">
        <f>147800.5+140</f>
        <v>147940.5</v>
      </c>
      <c r="H459" s="18"/>
      <c r="I459" s="56">
        <f t="shared" si="34"/>
        <v>175538.3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27597.8</v>
      </c>
      <c r="G460" s="83">
        <f>SUM(G454:G459)</f>
        <v>168415.25</v>
      </c>
      <c r="H460" s="83">
        <f>SUM(H454:H459)</f>
        <v>0</v>
      </c>
      <c r="I460" s="83">
        <f>SUM(I454:I459)</f>
        <v>196013.05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27597.8</v>
      </c>
      <c r="G461" s="42">
        <f>G452+G460</f>
        <v>168415.25</v>
      </c>
      <c r="H461" s="42">
        <f>H452+H460</f>
        <v>0</v>
      </c>
      <c r="I461" s="42">
        <f>I452+I460</f>
        <v>196013.05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17292.53</v>
      </c>
      <c r="G465" s="18">
        <v>0</v>
      </c>
      <c r="H465" s="18">
        <v>0</v>
      </c>
      <c r="I465" s="18"/>
      <c r="J465" s="18">
        <v>183832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501376.2</v>
      </c>
      <c r="G468" s="18">
        <v>22912.38</v>
      </c>
      <c r="H468" s="18">
        <v>30623.32</v>
      </c>
      <c r="I468" s="18"/>
      <c r="J468" s="18">
        <f>26018.51+140</f>
        <v>26158.51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501376.2</v>
      </c>
      <c r="G470" s="53">
        <f>SUM(G468:G469)</f>
        <v>22912.38</v>
      </c>
      <c r="H470" s="53">
        <f>SUM(H468:H469)</f>
        <v>30623.32</v>
      </c>
      <c r="I470" s="53">
        <f>SUM(I468:I469)</f>
        <v>0</v>
      </c>
      <c r="J470" s="53">
        <f>SUM(J468:J469)</f>
        <v>26158.51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451579.14</v>
      </c>
      <c r="G472" s="18">
        <v>22912.38</v>
      </c>
      <c r="H472" s="18">
        <v>30623.32</v>
      </c>
      <c r="I472" s="18"/>
      <c r="J472" s="18">
        <v>13977.46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451579.14</v>
      </c>
      <c r="G474" s="53">
        <f>SUM(G472:G473)</f>
        <v>22912.38</v>
      </c>
      <c r="H474" s="53">
        <f>SUM(H472:H473)</f>
        <v>30623.32</v>
      </c>
      <c r="I474" s="53">
        <f>SUM(I472:I473)</f>
        <v>0</v>
      </c>
      <c r="J474" s="53">
        <f>SUM(J472:J473)</f>
        <v>13977.46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67089.589999999967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196013.05000000002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2860</v>
      </c>
      <c r="G507" s="144">
        <v>55</v>
      </c>
      <c r="H507" s="144"/>
      <c r="I507" s="144">
        <f>F507+G507</f>
        <v>2915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18029</v>
      </c>
      <c r="G512" s="24" t="s">
        <v>289</v>
      </c>
      <c r="H512" s="18">
        <v>16429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252123</v>
      </c>
      <c r="G513" s="24" t="s">
        <v>289</v>
      </c>
      <c r="H513" s="18">
        <v>243123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270152</v>
      </c>
      <c r="G517" s="42">
        <f>SUM(G511:G516)</f>
        <v>0</v>
      </c>
      <c r="H517" s="42">
        <f>SUM(H511:H516)</f>
        <v>259552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29987.93</v>
      </c>
      <c r="G521" s="18">
        <v>2462.67</v>
      </c>
      <c r="H521" s="18">
        <v>70.98</v>
      </c>
      <c r="I521" s="18">
        <v>115.11</v>
      </c>
      <c r="J521" s="18"/>
      <c r="K521" s="18"/>
      <c r="L521" s="88">
        <f>SUM(F521:K521)</f>
        <v>32636.69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29987.93</v>
      </c>
      <c r="G524" s="108">
        <f t="shared" ref="G524:L524" si="36">SUM(G521:G523)</f>
        <v>2462.67</v>
      </c>
      <c r="H524" s="108">
        <f t="shared" si="36"/>
        <v>70.98</v>
      </c>
      <c r="I524" s="108">
        <f t="shared" si="36"/>
        <v>115.11</v>
      </c>
      <c r="J524" s="108">
        <f t="shared" si="36"/>
        <v>0</v>
      </c>
      <c r="K524" s="108">
        <f t="shared" si="36"/>
        <v>0</v>
      </c>
      <c r="L524" s="89">
        <f t="shared" si="36"/>
        <v>32636.69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19055.2</v>
      </c>
      <c r="I526" s="18"/>
      <c r="J526" s="18"/>
      <c r="K526" s="18"/>
      <c r="L526" s="88">
        <f>SUM(F526:K526)</f>
        <v>19055.2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19055.2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19055.2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10325.459999999999</v>
      </c>
      <c r="I531" s="18"/>
      <c r="J531" s="18"/>
      <c r="K531" s="18"/>
      <c r="L531" s="88">
        <f>SUM(F531:K531)</f>
        <v>10325.459999999999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10325.459999999999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10325.459999999999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29987.93</v>
      </c>
      <c r="G545" s="89">
        <f t="shared" ref="G545:L545" si="41">G524+G529+G534+G539+G544</f>
        <v>2462.67</v>
      </c>
      <c r="H545" s="89">
        <f t="shared" si="41"/>
        <v>29451.64</v>
      </c>
      <c r="I545" s="89">
        <f t="shared" si="41"/>
        <v>115.11</v>
      </c>
      <c r="J545" s="89">
        <f t="shared" si="41"/>
        <v>0</v>
      </c>
      <c r="K545" s="89">
        <f t="shared" si="41"/>
        <v>0</v>
      </c>
      <c r="L545" s="89">
        <f t="shared" si="41"/>
        <v>62017.35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32636.69</v>
      </c>
      <c r="G549" s="87">
        <f>L526</f>
        <v>19055.2</v>
      </c>
      <c r="H549" s="87">
        <f>L531</f>
        <v>10325.459999999999</v>
      </c>
      <c r="I549" s="87">
        <f>L536</f>
        <v>0</v>
      </c>
      <c r="J549" s="87">
        <f>L541</f>
        <v>0</v>
      </c>
      <c r="K549" s="87">
        <f>SUM(F549:J549)</f>
        <v>62017.35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32636.69</v>
      </c>
      <c r="G552" s="89">
        <f t="shared" si="42"/>
        <v>19055.2</v>
      </c>
      <c r="H552" s="89">
        <f t="shared" si="42"/>
        <v>10325.459999999999</v>
      </c>
      <c r="I552" s="89">
        <f t="shared" si="42"/>
        <v>0</v>
      </c>
      <c r="J552" s="89">
        <f t="shared" si="42"/>
        <v>0</v>
      </c>
      <c r="K552" s="89">
        <f t="shared" si="42"/>
        <v>62017.35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15173</v>
      </c>
      <c r="I575" s="87">
        <f>SUM(F575:H575)</f>
        <v>15173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19045</v>
      </c>
      <c r="I591" s="18"/>
      <c r="J591" s="18"/>
      <c r="K591" s="104">
        <f t="shared" ref="K591:K597" si="48">SUM(H591:J591)</f>
        <v>19045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19045</v>
      </c>
      <c r="I598" s="108">
        <f>SUM(I591:I597)</f>
        <v>0</v>
      </c>
      <c r="J598" s="108">
        <f>SUM(J591:J597)</f>
        <v>0</v>
      </c>
      <c r="K598" s="108">
        <f>SUM(K591:K597)</f>
        <v>19045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8391.7999999999993</v>
      </c>
      <c r="I604" s="18"/>
      <c r="J604" s="18"/>
      <c r="K604" s="104">
        <f>SUM(H604:J604)</f>
        <v>8391.7999999999993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8391.7999999999993</v>
      </c>
      <c r="I605" s="108">
        <f>SUM(I602:I604)</f>
        <v>0</v>
      </c>
      <c r="J605" s="108">
        <f>SUM(J602:J604)</f>
        <v>0</v>
      </c>
      <c r="K605" s="108">
        <f>SUM(K602:K604)</f>
        <v>8391.7999999999993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492.4</v>
      </c>
      <c r="G611" s="18">
        <v>41.74</v>
      </c>
      <c r="H611" s="18"/>
      <c r="I611" s="18"/>
      <c r="J611" s="18"/>
      <c r="K611" s="18"/>
      <c r="L611" s="88">
        <f>SUM(F611:K611)</f>
        <v>534.14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492.4</v>
      </c>
      <c r="G614" s="108">
        <f t="shared" si="49"/>
        <v>41.74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534.14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70278.600000000006</v>
      </c>
      <c r="H617" s="109">
        <f>SUM(F52)</f>
        <v>70278.599999999991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142.66999999999999</v>
      </c>
      <c r="H618" s="109">
        <f>SUM(G52)</f>
        <v>142.67000000000002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10897.03</v>
      </c>
      <c r="H619" s="109">
        <f>SUM(H52)</f>
        <v>10897.029999999999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196013.05</v>
      </c>
      <c r="H621" s="109">
        <f>SUM(J52)</f>
        <v>196013.05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67089.59</v>
      </c>
      <c r="H622" s="109">
        <f>F476</f>
        <v>67089.589999999967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196013.05</v>
      </c>
      <c r="H626" s="109">
        <f>J476</f>
        <v>196013.05000000002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501376.2</v>
      </c>
      <c r="H627" s="104">
        <f>SUM(F468)</f>
        <v>501376.2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22912.38</v>
      </c>
      <c r="H628" s="104">
        <f>SUM(G468)</f>
        <v>22912.38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30623.32</v>
      </c>
      <c r="H629" s="104">
        <f>SUM(H468)</f>
        <v>30623.32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26158.51</v>
      </c>
      <c r="H631" s="104">
        <f>SUM(J468)</f>
        <v>26158.51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451579.13999999996</v>
      </c>
      <c r="H632" s="104">
        <f>SUM(F472)</f>
        <v>451579.14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30623.32</v>
      </c>
      <c r="H633" s="104">
        <f>SUM(H472)</f>
        <v>30623.32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7285.58</v>
      </c>
      <c r="H634" s="104">
        <f>I369</f>
        <v>7285.58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22912.379999999997</v>
      </c>
      <c r="H635" s="104">
        <f>SUM(G472)</f>
        <v>22912.38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26158.510000000002</v>
      </c>
      <c r="H637" s="164">
        <f>SUM(J468)</f>
        <v>26158.51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13977.46</v>
      </c>
      <c r="H638" s="164">
        <f>SUM(J472)</f>
        <v>13977.46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27597.8</v>
      </c>
      <c r="H639" s="104">
        <f>SUM(F461)</f>
        <v>27597.8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168415.25</v>
      </c>
      <c r="H640" s="104">
        <f>SUM(G461)</f>
        <v>168415.25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196013.05</v>
      </c>
      <c r="H642" s="104">
        <f>SUM(I461)</f>
        <v>196013.05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18.510000000000002</v>
      </c>
      <c r="H644" s="104">
        <f>H408</f>
        <v>18.510000000000002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26000</v>
      </c>
      <c r="H645" s="104">
        <f>G408</f>
        <v>26000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26158.51</v>
      </c>
      <c r="H646" s="104">
        <f>L408</f>
        <v>26158.510000000002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19045</v>
      </c>
      <c r="H647" s="104">
        <f>L208+L226+L244</f>
        <v>19045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8391.7999999999993</v>
      </c>
      <c r="H648" s="104">
        <f>(J257+J338)-(J255+J336)</f>
        <v>8391.8000000000011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19045</v>
      </c>
      <c r="H649" s="104">
        <f>H598</f>
        <v>19045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9229.2900000000009</v>
      </c>
      <c r="H652" s="104">
        <f>K263+K345</f>
        <v>9229.2900000000009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26000</v>
      </c>
      <c r="H655" s="104">
        <f>K266+K347</f>
        <v>26000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447107.6</v>
      </c>
      <c r="G660" s="19">
        <f>(L229+L309+L359)</f>
        <v>0</v>
      </c>
      <c r="H660" s="19">
        <f>(L247+L328+L360)</f>
        <v>20037.16</v>
      </c>
      <c r="I660" s="19">
        <f>SUM(F660:H660)</f>
        <v>467144.75999999995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8910.7199999999993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8910.7199999999993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20417</v>
      </c>
      <c r="G662" s="19">
        <f>(L226+L306)-(J226+J306)</f>
        <v>0</v>
      </c>
      <c r="H662" s="19">
        <f>(L244+L325)-(J244+J325)</f>
        <v>0</v>
      </c>
      <c r="I662" s="19">
        <f>SUM(F662:H662)</f>
        <v>20417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8925.9399999999987</v>
      </c>
      <c r="G663" s="199">
        <f>SUM(G575:G587)+SUM(I602:I604)+L612</f>
        <v>0</v>
      </c>
      <c r="H663" s="199">
        <f>SUM(H575:H587)+SUM(J602:J604)+L613</f>
        <v>15173</v>
      </c>
      <c r="I663" s="19">
        <f>SUM(F663:H663)</f>
        <v>24098.94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408853.93999999994</v>
      </c>
      <c r="G664" s="19">
        <f>G660-SUM(G661:G663)</f>
        <v>0</v>
      </c>
      <c r="H664" s="19">
        <f>H660-SUM(H661:H663)</f>
        <v>4864.16</v>
      </c>
      <c r="I664" s="19">
        <f>I660-SUM(I661:I663)</f>
        <v>413718.1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11.78</v>
      </c>
      <c r="G665" s="248"/>
      <c r="H665" s="248"/>
      <c r="I665" s="19">
        <f>SUM(F665:H665)</f>
        <v>11.78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34707.47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35120.379999999997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-4864.16</v>
      </c>
      <c r="I669" s="19">
        <f>SUM(F669:H669)</f>
        <v>-4864.16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34707.47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34707.47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Errol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109135.97</v>
      </c>
      <c r="C9" s="229">
        <f>'DOE25'!G197+'DOE25'!G215+'DOE25'!G233+'DOE25'!G276+'DOE25'!G295+'DOE25'!G314</f>
        <v>59685.98</v>
      </c>
    </row>
    <row r="10" spans="1:3" x14ac:dyDescent="0.2">
      <c r="A10" t="s">
        <v>779</v>
      </c>
      <c r="B10" s="240">
        <v>105094.65</v>
      </c>
      <c r="C10" s="240">
        <v>59359.71</v>
      </c>
    </row>
    <row r="11" spans="1:3" x14ac:dyDescent="0.2">
      <c r="A11" t="s">
        <v>780</v>
      </c>
      <c r="B11" s="240">
        <v>4008.82</v>
      </c>
      <c r="C11" s="240">
        <v>323.64999999999998</v>
      </c>
    </row>
    <row r="12" spans="1:3" x14ac:dyDescent="0.2">
      <c r="A12" t="s">
        <v>781</v>
      </c>
      <c r="B12" s="240">
        <v>32.5</v>
      </c>
      <c r="C12" s="240">
        <v>2.62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109135.97</v>
      </c>
      <c r="C13" s="231">
        <f>SUM(C10:C12)</f>
        <v>59685.98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29495.53</v>
      </c>
      <c r="C18" s="229">
        <f>'DOE25'!G198+'DOE25'!G216+'DOE25'!G234+'DOE25'!G277+'DOE25'!G296+'DOE25'!G315</f>
        <v>2420.9299999999998</v>
      </c>
    </row>
    <row r="19" spans="1:3" x14ac:dyDescent="0.2">
      <c r="A19" t="s">
        <v>779</v>
      </c>
      <c r="B19" s="240">
        <v>19132.46</v>
      </c>
      <c r="C19" s="240">
        <v>1570.35</v>
      </c>
    </row>
    <row r="20" spans="1:3" x14ac:dyDescent="0.2">
      <c r="A20" t="s">
        <v>780</v>
      </c>
      <c r="B20" s="240">
        <v>10188.07</v>
      </c>
      <c r="C20" s="240">
        <v>836.22</v>
      </c>
    </row>
    <row r="21" spans="1:3" x14ac:dyDescent="0.2">
      <c r="A21" t="s">
        <v>781</v>
      </c>
      <c r="B21" s="240">
        <v>175</v>
      </c>
      <c r="C21" s="240">
        <v>14.36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29495.53</v>
      </c>
      <c r="C22" s="231">
        <f>SUM(C19:C21)</f>
        <v>2420.9299999999998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492.4</v>
      </c>
      <c r="C36" s="235">
        <f>'DOE25'!G200+'DOE25'!G218+'DOE25'!G236+'DOE25'!G279+'DOE25'!G298+'DOE25'!G317</f>
        <v>41.74</v>
      </c>
    </row>
    <row r="37" spans="1:3" x14ac:dyDescent="0.2">
      <c r="A37" t="s">
        <v>779</v>
      </c>
      <c r="B37" s="240">
        <v>492.4</v>
      </c>
      <c r="C37" s="240">
        <v>41.74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492.4</v>
      </c>
      <c r="C40" s="231">
        <f>SUM(C37:C39)</f>
        <v>41.74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Errol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219848.49000000002</v>
      </c>
      <c r="D5" s="20">
        <f>SUM('DOE25'!L197:L200)+SUM('DOE25'!L215:L218)+SUM('DOE25'!L233:L236)-F5-G5</f>
        <v>219117.41000000003</v>
      </c>
      <c r="E5" s="243"/>
      <c r="F5" s="255">
        <f>SUM('DOE25'!J197:J200)+SUM('DOE25'!J215:J218)+SUM('DOE25'!J233:J236)</f>
        <v>731.08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32948.44</v>
      </c>
      <c r="D6" s="20">
        <f>'DOE25'!L202+'DOE25'!L220+'DOE25'!L238-F6-G6</f>
        <v>32948.44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2034.87</v>
      </c>
      <c r="D7" s="20">
        <f>'DOE25'!L203+'DOE25'!L221+'DOE25'!L239-F7-G7</f>
        <v>1934.07</v>
      </c>
      <c r="E7" s="243"/>
      <c r="F7" s="255">
        <f>'DOE25'!J203+'DOE25'!J221+'DOE25'!J239</f>
        <v>0</v>
      </c>
      <c r="G7" s="53">
        <f>'DOE25'!K203+'DOE25'!K221+'DOE25'!K239</f>
        <v>100.8</v>
      </c>
      <c r="H7" s="259"/>
    </row>
    <row r="8" spans="1:9" x14ac:dyDescent="0.2">
      <c r="A8" s="32">
        <v>2300</v>
      </c>
      <c r="B8" t="s">
        <v>802</v>
      </c>
      <c r="C8" s="245">
        <f t="shared" si="0"/>
        <v>39307.409999999996</v>
      </c>
      <c r="D8" s="243"/>
      <c r="E8" s="20">
        <f>'DOE25'!L204+'DOE25'!L222+'DOE25'!L240-F8-G8-D9-D11</f>
        <v>37215.17</v>
      </c>
      <c r="F8" s="255">
        <f>'DOE25'!J204+'DOE25'!J222+'DOE25'!J240</f>
        <v>0</v>
      </c>
      <c r="G8" s="53">
        <f>'DOE25'!K204+'DOE25'!K222+'DOE25'!K240</f>
        <v>2092.2399999999998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8396.23</v>
      </c>
      <c r="D9" s="244">
        <v>8396.23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4032.1</v>
      </c>
      <c r="D10" s="243"/>
      <c r="E10" s="244">
        <f>3850+182.1</f>
        <v>4032.1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10130.59</v>
      </c>
      <c r="D11" s="244">
        <v>10130.59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51988.63</v>
      </c>
      <c r="D12" s="20">
        <f>'DOE25'!L205+'DOE25'!L223+'DOE25'!L241-F12-G12</f>
        <v>51153.43</v>
      </c>
      <c r="E12" s="243"/>
      <c r="F12" s="255">
        <f>'DOE25'!J205+'DOE25'!J223+'DOE25'!J241</f>
        <v>0</v>
      </c>
      <c r="G12" s="53">
        <f>'DOE25'!K205+'DOE25'!K223+'DOE25'!K241</f>
        <v>835.2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32650.190000000002</v>
      </c>
      <c r="D14" s="20">
        <f>'DOE25'!L207+'DOE25'!L225+'DOE25'!L243-F14-G14</f>
        <v>32650.190000000002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19045</v>
      </c>
      <c r="D15" s="20">
        <f>'DOE25'!L208+'DOE25'!L226+'DOE25'!L244-F15-G15</f>
        <v>19045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16673.28</v>
      </c>
      <c r="D29" s="20">
        <f>'DOE25'!L358+'DOE25'!L359+'DOE25'!L360-'DOE25'!I367-F29-G29</f>
        <v>16673.28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27882.53</v>
      </c>
      <c r="D31" s="20">
        <f>'DOE25'!L290+'DOE25'!L309+'DOE25'!L328+'DOE25'!L333+'DOE25'!L334+'DOE25'!L335-F31-G31</f>
        <v>19696.809999999998</v>
      </c>
      <c r="E31" s="243"/>
      <c r="F31" s="255">
        <f>'DOE25'!J290+'DOE25'!J309+'DOE25'!J328+'DOE25'!J333+'DOE25'!J334+'DOE25'!J335</f>
        <v>7660.72</v>
      </c>
      <c r="G31" s="53">
        <f>'DOE25'!K290+'DOE25'!K309+'DOE25'!K328+'DOE25'!K333+'DOE25'!K334+'DOE25'!K335</f>
        <v>525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411745.45</v>
      </c>
      <c r="E33" s="246">
        <f>SUM(E5:E31)</f>
        <v>41247.269999999997</v>
      </c>
      <c r="F33" s="246">
        <f>SUM(F5:F31)</f>
        <v>8391.8000000000011</v>
      </c>
      <c r="G33" s="246">
        <f>SUM(G5:G31)</f>
        <v>3553.24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41247.269999999997</v>
      </c>
      <c r="E35" s="249"/>
    </row>
    <row r="36" spans="2:8" ht="12" thickTop="1" x14ac:dyDescent="0.2">
      <c r="B36" t="s">
        <v>815</v>
      </c>
      <c r="D36" s="20">
        <f>D33</f>
        <v>411745.45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Errol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21601.39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38776.5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9394.4599999999991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140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506.25</v>
      </c>
      <c r="D12" s="95">
        <f>'DOE25'!G13</f>
        <v>142.66999999999999</v>
      </c>
      <c r="E12" s="95">
        <f>'DOE25'!H13</f>
        <v>10897.03</v>
      </c>
      <c r="F12" s="95">
        <f>'DOE25'!I13</f>
        <v>0</v>
      </c>
      <c r="G12" s="95">
        <f>'DOE25'!J13</f>
        <v>195873.05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70278.600000000006</v>
      </c>
      <c r="D18" s="41">
        <f>SUM(D8:D17)</f>
        <v>142.66999999999999</v>
      </c>
      <c r="E18" s="41">
        <f>SUM(E8:E17)</f>
        <v>10897.03</v>
      </c>
      <c r="F18" s="41">
        <f>SUM(F8:F17)</f>
        <v>0</v>
      </c>
      <c r="G18" s="41">
        <f>SUM(G8:G17)</f>
        <v>196013.05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117.89</v>
      </c>
      <c r="E21" s="95">
        <f>'DOE25'!H22</f>
        <v>9416.57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1407.08</v>
      </c>
      <c r="D23" s="95">
        <f>'DOE25'!G24</f>
        <v>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1781.93</v>
      </c>
      <c r="D27" s="95">
        <f>'DOE25'!G28</f>
        <v>16.78</v>
      </c>
      <c r="E27" s="95">
        <f>'DOE25'!H28</f>
        <v>521.21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959.25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3189.01</v>
      </c>
      <c r="D31" s="41">
        <f>SUM(D21:D30)</f>
        <v>142.67000000000002</v>
      </c>
      <c r="E31" s="41">
        <f>SUM(E21:E30)</f>
        <v>10897.029999999999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20474.75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2292.5300000000002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175538.3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58797.06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67089.59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196013.05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70278.599999999991</v>
      </c>
      <c r="D51" s="41">
        <f>D50+D31</f>
        <v>142.67000000000002</v>
      </c>
      <c r="E51" s="41">
        <f>E50+E31</f>
        <v>10897.029999999999</v>
      </c>
      <c r="F51" s="41">
        <f>F50+F31</f>
        <v>0</v>
      </c>
      <c r="G51" s="41">
        <f>G50+G31</f>
        <v>196013.05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253586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31338.01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18.510000000000002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8448.7199999999993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3549.82</v>
      </c>
      <c r="D61" s="95">
        <f>SUM('DOE25'!G98:G110)</f>
        <v>462</v>
      </c>
      <c r="E61" s="95">
        <f>SUM('DOE25'!H98:H110)</f>
        <v>1949.62</v>
      </c>
      <c r="F61" s="95">
        <f>SUM('DOE25'!I98:I110)</f>
        <v>0</v>
      </c>
      <c r="G61" s="95">
        <f>SUM('DOE25'!J98:J110)</f>
        <v>140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34920.83</v>
      </c>
      <c r="D62" s="130">
        <f>SUM(D57:D61)</f>
        <v>8910.7199999999993</v>
      </c>
      <c r="E62" s="130">
        <f>SUM(E57:E61)</f>
        <v>1949.62</v>
      </c>
      <c r="F62" s="130">
        <f>SUM(F57:F61)</f>
        <v>0</v>
      </c>
      <c r="G62" s="130">
        <f>SUM(G57:G61)</f>
        <v>158.51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288506.83</v>
      </c>
      <c r="D63" s="22">
        <f>D56+D62</f>
        <v>8910.7199999999993</v>
      </c>
      <c r="E63" s="22">
        <f>E56+E62</f>
        <v>1949.62</v>
      </c>
      <c r="F63" s="22">
        <f>F56+F62</f>
        <v>0</v>
      </c>
      <c r="G63" s="22">
        <f>G56+G62</f>
        <v>158.51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14426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189753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204179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158.41999999999999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158.41999999999999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204179</v>
      </c>
      <c r="D81" s="130">
        <f>SUM(D79:D80)+D78+D70</f>
        <v>158.41999999999999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18251.32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5418.64</v>
      </c>
      <c r="D88" s="95">
        <f>SUM('DOE25'!G153:G161)</f>
        <v>4613.95</v>
      </c>
      <c r="E88" s="95">
        <f>SUM('DOE25'!H153:H161)</f>
        <v>10422.380000000001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3271.73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8690.3700000000008</v>
      </c>
      <c r="D91" s="131">
        <f>SUM(D85:D90)</f>
        <v>4613.95</v>
      </c>
      <c r="E91" s="131">
        <f>SUM(E85:E90)</f>
        <v>28673.7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9229.2900000000009</v>
      </c>
      <c r="E96" s="95">
        <f>'DOE25'!H179</f>
        <v>0</v>
      </c>
      <c r="F96" s="95">
        <f>'DOE25'!I179</f>
        <v>0</v>
      </c>
      <c r="G96" s="95">
        <f>'DOE25'!J179</f>
        <v>26000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9229.2900000000009</v>
      </c>
      <c r="E103" s="86">
        <f>SUM(E93:E102)</f>
        <v>0</v>
      </c>
      <c r="F103" s="86">
        <f>SUM(F93:F102)</f>
        <v>0</v>
      </c>
      <c r="G103" s="86">
        <f>SUM(G93:G102)</f>
        <v>26000</v>
      </c>
    </row>
    <row r="104" spans="1:7" ht="12.75" thickTop="1" thickBot="1" x14ac:dyDescent="0.25">
      <c r="A104" s="33" t="s">
        <v>765</v>
      </c>
      <c r="C104" s="86">
        <f>C63+C81+C91+C103</f>
        <v>501376.2</v>
      </c>
      <c r="D104" s="86">
        <f>D63+D81+D91+D103</f>
        <v>22912.38</v>
      </c>
      <c r="E104" s="86">
        <f>E63+E81+E91+E103</f>
        <v>30623.32</v>
      </c>
      <c r="F104" s="86">
        <f>F63+F81+F91+F103</f>
        <v>0</v>
      </c>
      <c r="G104" s="86">
        <f>G63+G81+G103</f>
        <v>26158.51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192490.22</v>
      </c>
      <c r="D109" s="24" t="s">
        <v>289</v>
      </c>
      <c r="E109" s="95">
        <f>('DOE25'!L276)+('DOE25'!L295)+('DOE25'!L314)</f>
        <v>16389.05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26824.13</v>
      </c>
      <c r="D110" s="24" t="s">
        <v>289</v>
      </c>
      <c r="E110" s="95">
        <f>('DOE25'!L277)+('DOE25'!L296)+('DOE25'!L315)</f>
        <v>5278.42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534.14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219848.49000000002</v>
      </c>
      <c r="D115" s="86">
        <f>SUM(D109:D114)</f>
        <v>0</v>
      </c>
      <c r="E115" s="86">
        <f>SUM(E109:E114)</f>
        <v>21667.47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32948.44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2034.87</v>
      </c>
      <c r="D119" s="24" t="s">
        <v>289</v>
      </c>
      <c r="E119" s="95">
        <f>+('DOE25'!L282)+('DOE25'!L301)+('DOE25'!L320)</f>
        <v>4843.0599999999995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57834.229999999996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51988.63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32650.190000000002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19045</v>
      </c>
      <c r="D124" s="24" t="s">
        <v>289</v>
      </c>
      <c r="E124" s="95">
        <f>+('DOE25'!L287)+('DOE25'!L306)+('DOE25'!L325)</f>
        <v>1372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22912.379999999997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196501.36000000002</v>
      </c>
      <c r="D128" s="86">
        <f>SUM(D118:D127)</f>
        <v>22912.379999999997</v>
      </c>
      <c r="E128" s="86">
        <f>SUM(E118:E127)</f>
        <v>6215.0599999999995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13977.46</v>
      </c>
    </row>
    <row r="135" spans="1:7" x14ac:dyDescent="0.2">
      <c r="A135" t="s">
        <v>233</v>
      </c>
      <c r="B135" s="32" t="s">
        <v>234</v>
      </c>
      <c r="C135" s="95">
        <f>'DOE25'!L263</f>
        <v>9229.2900000000009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5002.8300000000008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21155.68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-158.51000000000204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2740.79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35229.29</v>
      </c>
      <c r="D144" s="141">
        <f>SUM(D130:D143)</f>
        <v>0</v>
      </c>
      <c r="E144" s="141">
        <f>SUM(E130:E143)</f>
        <v>2740.79</v>
      </c>
      <c r="F144" s="141">
        <f>SUM(F130:F143)</f>
        <v>0</v>
      </c>
      <c r="G144" s="141">
        <f>SUM(G130:G143)</f>
        <v>13977.46</v>
      </c>
    </row>
    <row r="145" spans="1:9" ht="12.75" thickTop="1" thickBot="1" x14ac:dyDescent="0.25">
      <c r="A145" s="33" t="s">
        <v>244</v>
      </c>
      <c r="C145" s="86">
        <f>(C115+C128+C144)</f>
        <v>451579.14</v>
      </c>
      <c r="D145" s="86">
        <f>(D115+D128+D144)</f>
        <v>22912.379999999997</v>
      </c>
      <c r="E145" s="86">
        <f>(E115+E128+E144)</f>
        <v>30623.32</v>
      </c>
      <c r="F145" s="86">
        <f>(F115+F128+F144)</f>
        <v>0</v>
      </c>
      <c r="G145" s="86">
        <f>(G115+G128+G144)</f>
        <v>13977.46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Errol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34707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34707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208879</v>
      </c>
      <c r="D10" s="182">
        <f>ROUND((C10/$C$28)*100,1)</f>
        <v>45.3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32103</v>
      </c>
      <c r="D11" s="182">
        <f>ROUND((C11/$C$28)*100,1)</f>
        <v>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534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32948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6878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57834</v>
      </c>
      <c r="D17" s="182">
        <f t="shared" si="0"/>
        <v>12.5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51989</v>
      </c>
      <c r="D18" s="182">
        <f t="shared" si="0"/>
        <v>11.3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32650</v>
      </c>
      <c r="D20" s="182">
        <f t="shared" si="0"/>
        <v>7.1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20417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2740.79</v>
      </c>
      <c r="D26" s="182">
        <f t="shared" si="0"/>
        <v>0.6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14001.28</v>
      </c>
      <c r="D27" s="182">
        <f t="shared" si="0"/>
        <v>3</v>
      </c>
    </row>
    <row r="28" spans="1:4" x14ac:dyDescent="0.2">
      <c r="B28" s="187" t="s">
        <v>723</v>
      </c>
      <c r="C28" s="180">
        <f>SUM(C10:C27)</f>
        <v>460974.07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460974.07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253586</v>
      </c>
      <c r="D35" s="182">
        <f t="shared" ref="D35:D40" si="1">ROUND((C35/$C$41)*100,1)</f>
        <v>47.2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37028.960000000021</v>
      </c>
      <c r="D36" s="182">
        <f t="shared" si="1"/>
        <v>6.9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204179</v>
      </c>
      <c r="D37" s="182">
        <f t="shared" si="1"/>
        <v>38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158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41978</v>
      </c>
      <c r="D39" s="182">
        <f t="shared" si="1"/>
        <v>7.8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536929.96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3" sqref="C23:M2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Errol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2014-04-29T12:07:51Z</cp:lastPrinted>
  <dcterms:created xsi:type="dcterms:W3CDTF">1997-12-04T19:04:30Z</dcterms:created>
  <dcterms:modified xsi:type="dcterms:W3CDTF">2014-08-29T15:08:34Z</dcterms:modified>
</cp:coreProperties>
</file>