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494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C17" i="10" s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" i="10" s="1"/>
  <c r="L234" i="1"/>
  <c r="L235" i="1"/>
  <c r="C12" i="10" s="1"/>
  <c r="L236" i="1"/>
  <c r="D5" i="13" s="1"/>
  <c r="C5" i="13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D14" i="13" s="1"/>
  <c r="C14" i="13" s="1"/>
  <c r="F15" i="13"/>
  <c r="G15" i="13"/>
  <c r="L208" i="1"/>
  <c r="L226" i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C25" i="10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L250" i="1"/>
  <c r="L332" i="1"/>
  <c r="L254" i="1"/>
  <c r="L268" i="1"/>
  <c r="L269" i="1"/>
  <c r="L349" i="1"/>
  <c r="L350" i="1"/>
  <c r="I665" i="1"/>
  <c r="I670" i="1"/>
  <c r="L211" i="1"/>
  <c r="F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F552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K257" i="1" s="1"/>
  <c r="K271" i="1" s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F461" i="1"/>
  <c r="G461" i="1"/>
  <c r="H640" i="1" s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G545" i="1" s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H545" i="1" s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G641" i="1"/>
  <c r="H641" i="1"/>
  <c r="G643" i="1"/>
  <c r="H643" i="1"/>
  <c r="G644" i="1"/>
  <c r="H644" i="1"/>
  <c r="G645" i="1"/>
  <c r="H645" i="1"/>
  <c r="H647" i="1"/>
  <c r="G649" i="1"/>
  <c r="J649" i="1" s="1"/>
  <c r="G650" i="1"/>
  <c r="G652" i="1"/>
  <c r="H652" i="1"/>
  <c r="G653" i="1"/>
  <c r="H653" i="1"/>
  <c r="G654" i="1"/>
  <c r="H654" i="1"/>
  <c r="H655" i="1"/>
  <c r="F192" i="1"/>
  <c r="L256" i="1"/>
  <c r="C18" i="2"/>
  <c r="C26" i="10"/>
  <c r="L328" i="1"/>
  <c r="L351" i="1"/>
  <c r="L290" i="1"/>
  <c r="F660" i="1" s="1"/>
  <c r="C70" i="2"/>
  <c r="D12" i="13"/>
  <c r="C12" i="13" s="1"/>
  <c r="D62" i="2"/>
  <c r="D63" i="2" s="1"/>
  <c r="D18" i="13"/>
  <c r="C18" i="13" s="1"/>
  <c r="D7" i="13"/>
  <c r="C7" i="13" s="1"/>
  <c r="D18" i="2"/>
  <c r="D17" i="13"/>
  <c r="C17" i="13" s="1"/>
  <c r="E8" i="13"/>
  <c r="C8" i="13" s="1"/>
  <c r="C91" i="2"/>
  <c r="F78" i="2"/>
  <c r="F81" i="2" s="1"/>
  <c r="D31" i="2"/>
  <c r="C78" i="2"/>
  <c r="D50" i="2"/>
  <c r="G157" i="2"/>
  <c r="F18" i="2"/>
  <c r="G156" i="2"/>
  <c r="E103" i="2"/>
  <c r="D91" i="2"/>
  <c r="E62" i="2"/>
  <c r="E63" i="2" s="1"/>
  <c r="E31" i="2"/>
  <c r="G62" i="2"/>
  <c r="D29" i="13"/>
  <c r="C29" i="13" s="1"/>
  <c r="D19" i="13"/>
  <c r="C19" i="13" s="1"/>
  <c r="E78" i="2"/>
  <c r="E81" i="2" s="1"/>
  <c r="L427" i="1"/>
  <c r="J257" i="1"/>
  <c r="J271" i="1" s="1"/>
  <c r="H112" i="1"/>
  <c r="J641" i="1"/>
  <c r="K605" i="1"/>
  <c r="G648" i="1" s="1"/>
  <c r="J571" i="1"/>
  <c r="K571" i="1"/>
  <c r="L433" i="1"/>
  <c r="L419" i="1"/>
  <c r="D81" i="2"/>
  <c r="I169" i="1"/>
  <c r="H169" i="1"/>
  <c r="G552" i="1"/>
  <c r="J643" i="1"/>
  <c r="J476" i="1"/>
  <c r="H626" i="1" s="1"/>
  <c r="H476" i="1"/>
  <c r="H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K549" i="1"/>
  <c r="G22" i="2"/>
  <c r="K545" i="1"/>
  <c r="J552" i="1"/>
  <c r="H552" i="1"/>
  <c r="C29" i="10"/>
  <c r="H140" i="1"/>
  <c r="L401" i="1"/>
  <c r="C139" i="2" s="1"/>
  <c r="L393" i="1"/>
  <c r="A13" i="12"/>
  <c r="F22" i="13"/>
  <c r="H25" i="13"/>
  <c r="C25" i="13" s="1"/>
  <c r="H571" i="1"/>
  <c r="L560" i="1"/>
  <c r="H338" i="1"/>
  <c r="H352" i="1" s="1"/>
  <c r="F338" i="1"/>
  <c r="F352" i="1" s="1"/>
  <c r="G192" i="1"/>
  <c r="H192" i="1"/>
  <c r="E128" i="2"/>
  <c r="C35" i="10"/>
  <c r="L309" i="1"/>
  <c r="E16" i="13"/>
  <c r="J655" i="1"/>
  <c r="J645" i="1"/>
  <c r="L570" i="1"/>
  <c r="J636" i="1"/>
  <c r="G36" i="2"/>
  <c r="L565" i="1"/>
  <c r="C22" i="13"/>
  <c r="C138" i="2"/>
  <c r="C16" i="13"/>
  <c r="L539" i="1" l="1"/>
  <c r="L524" i="1"/>
  <c r="K551" i="1"/>
  <c r="K550" i="1"/>
  <c r="L529" i="1"/>
  <c r="J644" i="1"/>
  <c r="J640" i="1"/>
  <c r="I460" i="1"/>
  <c r="I461" i="1" s="1"/>
  <c r="H642" i="1" s="1"/>
  <c r="J639" i="1"/>
  <c r="D15" i="13"/>
  <c r="C15" i="13" s="1"/>
  <c r="C21" i="10"/>
  <c r="E13" i="13"/>
  <c r="C13" i="13" s="1"/>
  <c r="C16" i="10"/>
  <c r="D6" i="13"/>
  <c r="C6" i="13" s="1"/>
  <c r="C13" i="10"/>
  <c r="A31" i="12"/>
  <c r="C11" i="10"/>
  <c r="C109" i="2"/>
  <c r="C124" i="2"/>
  <c r="C128" i="2" s="1"/>
  <c r="G662" i="1"/>
  <c r="I662" i="1" s="1"/>
  <c r="C19" i="10"/>
  <c r="C18" i="10"/>
  <c r="C112" i="2"/>
  <c r="G257" i="1"/>
  <c r="G271" i="1" s="1"/>
  <c r="I446" i="1"/>
  <c r="G642" i="1" s="1"/>
  <c r="J642" i="1" s="1"/>
  <c r="K503" i="1"/>
  <c r="G164" i="2"/>
  <c r="K500" i="1"/>
  <c r="J651" i="1"/>
  <c r="K598" i="1"/>
  <c r="G647" i="1" s="1"/>
  <c r="J647" i="1" s="1"/>
  <c r="J634" i="1"/>
  <c r="F112" i="1"/>
  <c r="J624" i="1"/>
  <c r="H52" i="1"/>
  <c r="H619" i="1" s="1"/>
  <c r="J619" i="1" s="1"/>
  <c r="J617" i="1"/>
  <c r="C20" i="10"/>
  <c r="C132" i="2"/>
  <c r="C15" i="10"/>
  <c r="G661" i="1"/>
  <c r="E33" i="13"/>
  <c r="D35" i="13" s="1"/>
  <c r="H33" i="13"/>
  <c r="H257" i="1"/>
  <c r="H271" i="1" s="1"/>
  <c r="F661" i="1"/>
  <c r="F664" i="1" s="1"/>
  <c r="F667" i="1" s="1"/>
  <c r="C62" i="2"/>
  <c r="C63" i="2" s="1"/>
  <c r="E115" i="2"/>
  <c r="E145" i="2" s="1"/>
  <c r="I257" i="1"/>
  <c r="I271" i="1" s="1"/>
  <c r="F257" i="1"/>
  <c r="F271" i="1" s="1"/>
  <c r="L229" i="1"/>
  <c r="G660" i="1" s="1"/>
  <c r="D145" i="2"/>
  <c r="H661" i="1"/>
  <c r="L247" i="1"/>
  <c r="H660" i="1" s="1"/>
  <c r="C81" i="2"/>
  <c r="L337" i="1"/>
  <c r="L338" i="1" s="1"/>
  <c r="L352" i="1" s="1"/>
  <c r="G633" i="1" s="1"/>
  <c r="J633" i="1" s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C36" i="10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G571" i="1"/>
  <c r="I434" i="1"/>
  <c r="G434" i="1"/>
  <c r="E104" i="2"/>
  <c r="I663" i="1"/>
  <c r="C27" i="10"/>
  <c r="G635" i="1"/>
  <c r="J635" i="1" s="1"/>
  <c r="L545" i="1" l="1"/>
  <c r="K552" i="1"/>
  <c r="C115" i="2"/>
  <c r="C145" i="2" s="1"/>
  <c r="F193" i="1"/>
  <c r="G627" i="1" s="1"/>
  <c r="J627" i="1" s="1"/>
  <c r="D31" i="13"/>
  <c r="C31" i="13" s="1"/>
  <c r="C104" i="2"/>
  <c r="G664" i="1"/>
  <c r="G672" i="1" s="1"/>
  <c r="C5" i="10" s="1"/>
  <c r="I661" i="1"/>
  <c r="F672" i="1"/>
  <c r="C4" i="10" s="1"/>
  <c r="L257" i="1"/>
  <c r="L271" i="1" s="1"/>
  <c r="G632" i="1" s="1"/>
  <c r="J632" i="1" s="1"/>
  <c r="C28" i="10"/>
  <c r="D22" i="10" s="1"/>
  <c r="I660" i="1"/>
  <c r="I664" i="1" s="1"/>
  <c r="I672" i="1" s="1"/>
  <c r="C7" i="10" s="1"/>
  <c r="H664" i="1"/>
  <c r="H667" i="1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G667" i="1" l="1"/>
  <c r="D23" i="10"/>
  <c r="D10" i="10"/>
  <c r="D18" i="10"/>
  <c r="D15" i="10"/>
  <c r="D17" i="10"/>
  <c r="D20" i="10"/>
  <c r="C30" i="10"/>
  <c r="D27" i="10"/>
  <c r="D26" i="10"/>
  <c r="D24" i="10"/>
  <c r="D25" i="10"/>
  <c r="D13" i="10"/>
  <c r="D11" i="10"/>
  <c r="D21" i="10"/>
  <c r="D12" i="10"/>
  <c r="D16" i="10"/>
  <c r="D19" i="10"/>
  <c r="H672" i="1"/>
  <c r="C6" i="10" s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<sst xmlns="http://schemas.openxmlformats.org/spreadsheetml/2006/main" count="3962" uniqueCount="920">
  <si>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</si>
  <si>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</si>
  <si>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</si>
  <si>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</si>
  <si>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</si>
  <si>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</si>
  <si>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</si>
  <si>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</si>
  <si>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</si>
  <si>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</si>
  <si>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</si>
  <si>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</si>
  <si>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</si>
  <si>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</si>
  <si>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</si>
  <si>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</si>
  <si>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</si>
  <si>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</si>
  <si>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</si>
  <si>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</si>
  <si>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</si>
  <si>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</si>
  <si>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</si>
  <si>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</si>
  <si>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</si>
  <si>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</si>
  <si>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</si>
  <si>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</si>
  <si>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</si>
  <si>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</si>
  <si>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</si>
  <si>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</si>
  <si>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</si>
  <si>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</si>
  <si>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</si>
  <si>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</si>
  <si>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</si>
  <si>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</si>
  <si>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</si>
  <si>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</si>
  <si>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</si>
  <si>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</si>
  <si>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</si>
  <si>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</si>
  <si>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</si>
  <si>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</si>
  <si>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</si>
  <si>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</si>
  <si>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</si>
  <si>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</si>
  <si>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</si>
  <si>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</si>
  <si>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</si>
  <si>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</si>
  <si>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</si>
  <si>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</si>
  <si>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</si>
  <si>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</si>
  <si>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</si>
  <si>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</si>
  <si>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</si>
  <si>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</si>
  <si>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</si>
  <si>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</si>
  <si>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</si>
  <si>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</si>
  <si>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</si>
  <si>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</si>
  <si>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</si>
  <si>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</si>
  <si>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</si>
  <si>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</si>
  <si>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</si>
  <si>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</si>
  <si>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</si>
  <si>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</si>
  <si>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</si>
  <si>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</si>
  <si>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</si>
  <si>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</si>
  <si>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</si>
  <si>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</si>
  <si>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</si>
  <si>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</si>
  <si>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</si>
  <si>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</si>
  <si>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</si>
  <si>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</si>
  <si>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</si>
  <si>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</si>
  <si>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</si>
  <si>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</si>
  <si>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</si>
  <si>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</si>
  <si>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</si>
  <si>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</si>
  <si>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</si>
  <si>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</si>
  <si>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</si>
  <si>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</si>
  <si>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</si>
  <si>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</si>
  <si>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</si>
  <si>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</si>
  <si>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</si>
  <si>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</si>
  <si>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</si>
  <si>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</si>
  <si>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</si>
  <si>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</si>
  <si>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</si>
  <si>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</si>
  <si>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</si>
  <si>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</si>
  <si>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</si>
  <si>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</si>
  <si>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</si>
  <si>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</si>
  <si>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</si>
  <si>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</si>
  <si>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</si>
  <si>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</si>
  <si>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</si>
  <si>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</si>
  <si>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</si>
  <si>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</si>
  <si>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</si>
  <si>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</si>
  <si>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</si>
  <si>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</si>
  <si>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</si>
  <si>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</si>
  <si>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</si>
  <si>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</si>
  <si>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</si>
  <si>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</si>
  <si>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</si>
  <si>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</si>
  <si>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</si>
  <si>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</si>
  <si>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</si>
  <si>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</si>
  <si>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</si>
  <si>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</si>
  <si>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</si>
  <si>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</si>
  <si>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</si>
  <si>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</si>
  <si>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</si>
  <si>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</si>
  <si>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</si>
  <si>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</si>
  <si>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</si>
  <si>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</si>
  <si>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</si>
  <si>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</si>
  <si>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</si>
  <si>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</si>
  <si>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</si>
  <si>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</si>
  <si>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</si>
  <si>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</si>
  <si>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</si>
  <si>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</si>
  <si>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</si>
  <si>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</si>
  <si>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</si>
  <si>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</si>
  <si>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</si>
  <si>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</si>
  <si>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</si>
  <si>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</si>
  <si>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</si>
  <si>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</si>
  <si>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</si>
  <si>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</si>
  <si>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</si>
  <si>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</si>
  <si>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</si>
  <si>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</si>
  <si>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</si>
  <si>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</si>
  <si>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</si>
  <si>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</si>
  <si>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</si>
  <si>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</si>
  <si>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</si>
  <si>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</si>
  <si>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</si>
  <si>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</si>
  <si>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</si>
  <si>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</si>
  <si>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</si>
  <si>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</si>
  <si>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</si>
  <si>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</si>
  <si>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</si>
  <si>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</si>
  <si>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</si>
  <si>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</si>
  <si>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</si>
  <si>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</si>
  <si>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</si>
  <si>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</si>
  <si>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</si>
  <si>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</si>
  <si>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</si>
  <si>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</si>
  <si>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</si>
  <si>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</si>
  <si>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</si>
  <si>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</si>
  <si>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</si>
  <si>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</si>
  <si>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</si>
  <si>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</si>
  <si>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</si>
  <si>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</si>
  <si>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</si>
  <si>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</si>
  <si>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</si>
  <si>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</si>
  <si>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</si>
  <si>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</si>
  <si>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</si>
  <si>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</si>
  <si>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</si>
  <si>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</si>
  <si>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</si>
  <si>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</si>
  <si>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</si>
  <si>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</si>
  <si>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</si>
  <si>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</si>
  <si>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</si>
  <si>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</si>
  <si>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</si>
  <si>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</si>
  <si>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</si>
  <si>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</si>
  <si>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</si>
  <si>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</si>
  <si>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</si>
  <si>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</si>
  <si>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</si>
  <si>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</si>
  <si>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</si>
  <si>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</si>
  <si>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</si>
  <si>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</si>
  <si>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</si>
  <si>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</si>
  <si>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</si>
  <si>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</si>
  <si>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</si>
  <si>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</si>
  <si>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</si>
  <si>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</si>
  <si>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</si>
  <si>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</si>
  <si>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</si>
  <si>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</si>
  <si>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</si>
  <si>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</si>
  <si>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</si>
  <si>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</si>
  <si>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</si>
  <si>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</si>
  <si>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</si>
  <si>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</si>
  <si>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</si>
  <si>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</si>
  <si>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</si>
  <si>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</si>
  <si>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</si>
  <si>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</si>
  <si>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</si>
  <si>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</si>
  <si>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</si>
  <si>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</si>
  <si>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</si>
  <si>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</si>
  <si>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</si>
  <si>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</si>
  <si>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</si>
  <si>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</si>
  <si>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</si>
  <si>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</si>
  <si>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</si>
  <si>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</si>
  <si>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</si>
  <si>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</si>
  <si>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</si>
  <si>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</si>
  <si>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</si>
  <si>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</si>
  <si>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</si>
  <si>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</si>
  <si>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</si>
  <si>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</si>
  <si>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</si>
  <si>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</si>
  <si>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</si>
  <si>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</si>
  <si>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</si>
  <si>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</si>
  <si>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</si>
  <si>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</si>
  <si>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</si>
  <si>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</si>
  <si>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</si>
  <si>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</si>
  <si>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</si>
  <si>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</si>
  <si>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</si>
  <si>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</si>
  <si>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</si>
  <si>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</si>
  <si>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</si>
  <si>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</si>
  <si>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</si>
  <si>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</si>
  <si>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</si>
  <si>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</si>
  <si>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</si>
  <si>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</si>
  <si>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</si>
  <si>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</si>
  <si>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</si>
  <si>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</si>
  <si>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</si>
  <si>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</si>
  <si>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</si>
  <si>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</si>
  <si>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</si>
  <si>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</si>
  <si>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</si>
  <si>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</si>
  <si>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</si>
  <si>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</si>
  <si>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</si>
  <si>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</si>
  <si>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</si>
  <si>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</si>
  <si>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</si>
  <si>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</si>
  <si>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</si>
  <si>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</si>
  <si>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</si>
  <si>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</si>
  <si>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</si>
  <si>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</si>
  <si>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</si>
  <si>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</si>
  <si>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</si>
  <si>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</si>
  <si>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</si>
  <si>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</si>
  <si>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</si>
  <si>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</si>
  <si>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</si>
  <si>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</si>
  <si>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</si>
  <si>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</si>
  <si>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</si>
  <si>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</si>
  <si>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</si>
  <si>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</si>
  <si>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</si>
  <si>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</si>
  <si>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</si>
  <si>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</si>
  <si>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</si>
  <si>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</si>
  <si>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</si>
  <si>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</si>
  <si>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</si>
  <si>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</si>
  <si>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</si>
  <si>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</si>
  <si>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</si>
  <si>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</si>
  <si>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</si>
  <si>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</si>
  <si>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</si>
  <si>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</si>
  <si>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</si>
  <si>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</si>
  <si>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</si>
  <si>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</si>
  <si>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</si>
  <si>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</si>
  <si>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</si>
  <si>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</si>
  <si>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</si>
  <si>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</si>
  <si>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</si>
  <si>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</si>
  <si>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</si>
  <si>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</si>
  <si>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</si>
  <si>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</si>
  <si>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</si>
  <si>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</si>
  <si>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</si>
  <si>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</si>
  <si>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</si>
  <si>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</si>
  <si>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</si>
  <si>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</si>
  <si>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</si>
  <si>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</si>
  <si>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</si>
  <si>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</si>
  <si>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</si>
  <si>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</si>
  <si>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</si>
  <si>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</si>
  <si>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</si>
  <si>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</si>
  <si>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</si>
  <si>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</si>
  <si>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</si>
  <si>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</si>
  <si>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</si>
  <si>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</si>
  <si>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</si>
  <si>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</si>
  <si>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</si>
  <si>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</si>
  <si>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</si>
  <si>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</si>
  <si>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</si>
  <si>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</si>
  <si>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</si>
  <si>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</si>
  <si>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</si>
  <si>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</si>
  <si>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</si>
  <si>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</si>
  <si>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</si>
  <si>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</si>
  <si>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</si>
  <si>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</si>
  <si>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</si>
  <si>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</si>
  <si>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</si>
  <si>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</si>
  <si>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</si>
  <si>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</si>
  <si>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</si>
  <si>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</si>
  <si>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</si>
  <si>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</si>
  <si>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</si>
  <si>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</si>
  <si>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</si>
  <si>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</si>
  <si>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</si>
  <si>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</si>
  <si>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</si>
  <si>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</si>
  <si>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</si>
  <si>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</si>
  <si>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</si>
  <si>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</si>
  <si>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</si>
  <si>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</si>
  <si>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</si>
  <si>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</si>
  <si>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</si>
  <si>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</si>
  <si>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</si>
  <si>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</si>
  <si>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</si>
  <si>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</si>
  <si>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</si>
  <si>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</si>
  <si>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</si>
  <si>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</si>
  <si>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</si>
  <si>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</si>
  <si>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</si>
  <si>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</si>
  <si>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</si>
  <si>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</si>
  <si>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</si>
  <si>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</si>
  <si>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</si>
  <si>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</si>
  <si>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</si>
  <si>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</si>
  <si>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</si>
  <si>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</si>
  <si>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</si>
  <si>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</si>
  <si>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</si>
  <si>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</si>
  <si>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</si>
  <si>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</si>
  <si>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</si>
  <si>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</si>
  <si>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</si>
  <si>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</si>
  <si>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</si>
  <si>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</si>
  <si>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</si>
  <si>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</si>
  <si>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</si>
  <si>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</si>
  <si>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</si>
  <si>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</si>
  <si>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</si>
  <si>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</si>
  <si>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</si>
  <si>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</si>
  <si>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</si>
  <si>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</si>
  <si>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</si>
  <si>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</si>
  <si>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</si>
  <si>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</si>
  <si>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</si>
  <si>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</si>
  <si>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</si>
  <si>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</si>
  <si>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</si>
  <si>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</si>
  <si>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</si>
  <si>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</si>
  <si>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</si>
  <si>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</si>
  <si>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</si>
  <si>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</si>
  <si>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</si>
  <si>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</si>
  <si>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</si>
  <si>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</si>
  <si>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</si>
  <si>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</si>
  <si>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</si>
  <si>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</si>
  <si>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</si>
  <si>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</si>
  <si>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</si>
  <si>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</si>
  <si>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</si>
  <si>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</si>
  <si>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</si>
  <si>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</si>
  <si>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</si>
  <si>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</si>
  <si>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</si>
  <si>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</si>
  <si>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</si>
  <si>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</si>
  <si>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</si>
  <si>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</si>
  <si>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</si>
  <si>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</si>
  <si>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</si>
  <si>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</si>
  <si>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</si>
  <si>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</si>
  <si>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</si>
  <si>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</si>
  <si>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</si>
  <si>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</si>
  <si>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</si>
  <si>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</si>
  <si>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</si>
  <si>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</si>
  <si>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</si>
  <si>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</si>
  <si>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</si>
  <si>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</si>
  <si>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</si>
  <si>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</si>
  <si>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</si>
  <si>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</si>
  <si>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</si>
  <si>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</si>
  <si>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</si>
  <si>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</si>
  <si>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</si>
  <si>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</si>
  <si>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</si>
  <si>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</si>
  <si>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</si>
  <si>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</si>
  <si>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</si>
  <si>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</si>
  <si>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</si>
  <si>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</si>
  <si>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</si>
  <si>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</si>
  <si>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</si>
  <si>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</si>
  <si>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</si>
  <si>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</si>
  <si>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</si>
  <si>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</si>
  <si>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</si>
  <si>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</si>
  <si>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</si>
  <si>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</si>
  <si>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</si>
  <si>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</si>
  <si>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</si>
  <si>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</si>
  <si>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</si>
  <si>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</si>
  <si>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</si>
  <si>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</si>
  <si>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</si>
  <si>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</si>
  <si>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</si>
  <si>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</si>
  <si>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</si>
  <si>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</si>
  <si>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</si>
  <si>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</si>
  <si>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</si>
  <si>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</si>
  <si>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</si>
  <si>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</si>
  <si>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</si>
  <si>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</si>
  <si>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</si>
  <si>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</si>
  <si>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</si>
  <si>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</si>
  <si>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</si>
  <si>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</si>
  <si>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</si>
  <si>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</si>
  <si>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</si>
  <si>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</si>
  <si>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</si>
  <si>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</si>
  <si>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</si>
  <si>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</si>
  <si>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</si>
  <si>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</si>
  <si>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</si>
  <si>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</si>
  <si>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</si>
  <si>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</si>
  <si>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</si>
  <si>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</si>
  <si>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</si>
  <si>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</si>
  <si>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</si>
  <si>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</si>
  <si>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</si>
  <si>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</si>
  <si>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</si>
  <si>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</si>
  <si>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</si>
  <si>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</si>
  <si>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</si>
  <si>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</si>
  <si>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</si>
  <si>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</si>
  <si>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</si>
  <si>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</si>
  <si>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</si>
  <si>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</si>
  <si>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</si>
  <si>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</si>
  <si>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</si>
  <si>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</si>
  <si>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</si>
  <si>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</si>
  <si>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</si>
  <si>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</si>
  <si>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</si>
  <si>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</si>
  <si>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</si>
  <si>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</si>
  <si>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</si>
  <si>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</si>
  <si>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</si>
  <si>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</si>
  <si>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</si>
  <si>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</si>
  <si>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</si>
  <si>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</si>
  <si>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</si>
  <si>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</si>
  <si>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</si>
  <si>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</si>
  <si>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</si>
  <si>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</si>
  <si>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</si>
  <si>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</si>
  <si>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</si>
  <si>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</si>
  <si>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</si>
  <si>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</si>
  <si>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</si>
  <si>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</si>
  <si>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</si>
  <si>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</si>
  <si>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</si>
  <si>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</si>
  <si>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</si>
  <si>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</si>
  <si>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</si>
  <si>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</si>
  <si>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</si>
  <si>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</si>
  <si>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</si>
  <si>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</si>
  <si>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</si>
  <si>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</si>
  <si>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</si>
  <si>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</si>
  <si>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</si>
  <si>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</si>
  <si>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</si>
  <si>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</si>
  <si>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</si>
  <si>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</si>
  <si>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</si>
  <si>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</si>
  <si>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</si>
  <si>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</si>
  <si>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</si>
  <si>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</si>
  <si>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</si>
  <si>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</si>
  <si>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</si>
  <si>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</si>
  <si>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</si>
  <si>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</si>
  <si>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</si>
  <si>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</si>
  <si>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</si>
  <si>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</si>
  <si>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</si>
  <si>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</si>
  <si>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</si>
  <si>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</si>
  <si>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</si>
  <si>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</si>
  <si>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</si>
  <si>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</si>
  <si>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</si>
  <si>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</si>
  <si>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</si>
  <si>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</si>
  <si>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</si>
  <si>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</si>
  <si>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</si>
  <si>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</si>
  <si>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</si>
  <si>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</si>
  <si>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</si>
  <si>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</si>
  <si>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</si>
  <si>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</si>
  <si>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</si>
  <si>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</si>
  <si>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</si>
  <si>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</si>
  <si>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</si>
  <si>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</si>
  <si>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</si>
  <si>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</si>
  <si>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</si>
  <si>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</si>
  <si>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</si>
  <si>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</si>
  <si>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</si>
  <si>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</si>
  <si>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</si>
  <si>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</si>
  <si>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</si>
  <si>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</si>
  <si>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</si>
  <si>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</si>
  <si>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</si>
  <si>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</si>
  <si>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</si>
  <si>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</si>
  <si>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</si>
  <si>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</si>
  <si>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</si>
  <si>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</si>
  <si>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</si>
  <si>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</si>
  <si>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</si>
  <si>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</si>
  <si>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</si>
  <si>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</si>
  <si>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</si>
  <si>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</si>
  <si>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</si>
  <si>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</si>
  <si>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</si>
  <si>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</si>
  <si>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</si>
  <si>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</si>
  <si>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</si>
  <si>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</si>
  <si>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</si>
  <si>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</si>
  <si>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</si>
  <si>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</si>
  <si>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</si>
  <si>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</si>
  <si>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</si>
  <si>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</si>
  <si>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</si>
  <si>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</si>
  <si>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</si>
  <si>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</si>
  <si>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</si>
  <si>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</si>
  <si>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</si>
  <si>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</si>
  <si>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</si>
  <si>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</si>
  <si>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</si>
  <si>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</si>
  <si>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</si>
  <si>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</si>
  <si>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</si>
  <si>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</si>
  <si>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</si>
  <si>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</si>
  <si>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</si>
  <si>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</si>
  <si>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</si>
  <si>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</si>
  <si>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</si>
  <si>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</si>
  <si>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</si>
  <si>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</si>
  <si>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</si>
  <si>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</si>
  <si>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</si>
  <si>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</si>
  <si>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</si>
  <si>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</si>
  <si>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</si>
  <si>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</si>
  <si>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</si>
  <si>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</si>
  <si>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</si>
  <si>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</si>
  <si>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</si>
  <si>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</si>
  <si>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</si>
  <si>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</si>
  <si>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</si>
  <si>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</si>
  <si>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</si>
  <si>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</si>
  <si>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</si>
  <si>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</si>
  <si>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</si>
  <si>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</si>
  <si>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</si>
  <si>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</si>
  <si>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</si>
  <si>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</si>
  <si>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</si>
  <si>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</si>
  <si>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</si>
  <si>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</si>
  <si>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</si>
  <si>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</si>
  <si>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</si>
  <si>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</si>
  <si>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</si>
  <si>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</si>
  <si>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</si>
  <si>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</si>
  <si>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</si>
  <si>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</si>
  <si>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</si>
  <si>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</si>
  <si>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</si>
  <si>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</si>
  <si>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</si>
  <si>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</si>
  <si>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</si>
  <si>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</si>
  <si>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</si>
  <si>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</si>
  <si>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</si>
  <si>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</si>
  <si>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</si>
  <si>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</si>
  <si>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</si>
  <si>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</si>
  <si>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</si>
  <si>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</si>
  <si>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</si>
  <si>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</si>
  <si>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</si>
  <si>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</si>
  <si>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</si>
  <si>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</si>
  <si>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</si>
  <si>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</si>
  <si>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</si>
  <si>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</si>
  <si>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</si>
  <si>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1/15/17</t>
  </si>
  <si>
    <t>1/97</t>
  </si>
  <si>
    <t>8/03</t>
  </si>
  <si>
    <t>8/15/23</t>
  </si>
  <si>
    <t>EXETER REGION COOPERATIVE SCHOOL DISTRICT</t>
  </si>
  <si>
    <t>Health Refund         $667,026.08</t>
  </si>
  <si>
    <t>Dental Refund         $  29,362.17</t>
  </si>
  <si>
    <t>These amounts were used to decrease health and dental expense for FY13-14 and allocated through benefits expense on lines</t>
  </si>
  <si>
    <t>8,1,2  and 9,1,2  through 8,10,2 and 9,10,2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</si>
</sst>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I665" sqref="I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172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501028.24</v>
      </c>
      <c r="G9" s="18"/>
      <c r="H9" s="18">
        <v>303553.94</v>
      </c>
      <c r="I9" s="18"/>
      <c r="J9" s="67">
        <f>SUM(I439)</f>
        <v>1390737.61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4432241.6399999997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76185.789999999994</v>
      </c>
      <c r="G12" s="18">
        <v>270830.15000000002</v>
      </c>
      <c r="H12" s="18">
        <v>198781.42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182638.36</v>
      </c>
      <c r="G13" s="18">
        <v>14540.53</v>
      </c>
      <c r="H13" s="18">
        <v>78896.73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24593.1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166226.16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5382913.29</v>
      </c>
      <c r="G19" s="41">
        <f>SUM(G9:G18)</f>
        <v>285370.68000000005</v>
      </c>
      <c r="H19" s="41">
        <f>SUM(H9:H18)</f>
        <v>581232.09</v>
      </c>
      <c r="I19" s="41">
        <f>SUM(I9:I18)</f>
        <v>0</v>
      </c>
      <c r="J19" s="41">
        <f>SUM(J9:J18)</f>
        <v>1390737.61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469611.57</v>
      </c>
      <c r="G22" s="18"/>
      <c r="H22" s="18">
        <v>76185.789999999994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839419.35</v>
      </c>
      <c r="G23" s="18">
        <v>1112.03</v>
      </c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187372.02</v>
      </c>
      <c r="G24" s="18"/>
      <c r="H24" s="18">
        <v>20.12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53459.39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5100</v>
      </c>
      <c r="G30" s="18">
        <v>26888</v>
      </c>
      <c r="H30" s="18">
        <v>14987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35794.559999999998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1590756.89</v>
      </c>
      <c r="G32" s="41">
        <f>SUM(G22:G31)</f>
        <v>28000.03</v>
      </c>
      <c r="H32" s="41">
        <f>SUM(H22:H31)</f>
        <v>91192.909999999989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257370.65</v>
      </c>
      <c r="H48" s="18">
        <v>490039.18</v>
      </c>
      <c r="I48" s="18"/>
      <c r="J48" s="13">
        <f>SUM(I459)</f>
        <v>1390737.61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590666.16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3201490.24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3792156.4000000004</v>
      </c>
      <c r="G51" s="41">
        <f>SUM(G35:G50)</f>
        <v>257370.65</v>
      </c>
      <c r="H51" s="41">
        <f>SUM(H35:H50)</f>
        <v>490039.18</v>
      </c>
      <c r="I51" s="41">
        <f>SUM(I35:I50)</f>
        <v>0</v>
      </c>
      <c r="J51" s="41">
        <f>SUM(J35:J50)</f>
        <v>1390737.61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5382913.29</v>
      </c>
      <c r="G52" s="41">
        <f>G51+G32</f>
        <v>285370.68</v>
      </c>
      <c r="H52" s="41">
        <f>H51+H32</f>
        <v>581232.09</v>
      </c>
      <c r="I52" s="41">
        <f>I51+I32</f>
        <v>0</v>
      </c>
      <c r="J52" s="41">
        <f>J51+J32</f>
        <v>1390737.61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33391058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33391058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8258.24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81467.45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5000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948120.78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1042846.47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731.71</v>
      </c>
      <c r="G96" s="18">
        <v>259.17</v>
      </c>
      <c r="H96" s="18"/>
      <c r="I96" s="18"/>
      <c r="J96" s="18">
        <v>4169.8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611452.32999999996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>
        <v>1002728.05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>
        <v>62230.74</v>
      </c>
      <c r="H99" s="18">
        <v>109415.33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119151.14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1000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183043.25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223130.42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526056.52</v>
      </c>
      <c r="G111" s="41">
        <f>SUM(G96:G110)</f>
        <v>673942.24</v>
      </c>
      <c r="H111" s="41">
        <f>SUM(H96:H110)</f>
        <v>1113143.3800000001</v>
      </c>
      <c r="I111" s="41">
        <f>SUM(I96:I110)</f>
        <v>0</v>
      </c>
      <c r="J111" s="41">
        <f>SUM(J96:J110)</f>
        <v>4169.8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34959960.990000002</v>
      </c>
      <c r="G112" s="41">
        <f>G60+G111</f>
        <v>673942.24</v>
      </c>
      <c r="H112" s="41">
        <f>H60+H79+H94+H111</f>
        <v>1113143.3800000001</v>
      </c>
      <c r="I112" s="41">
        <f>I60+I111</f>
        <v>0</v>
      </c>
      <c r="J112" s="41">
        <f>J60+J111</f>
        <v>4169.8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5587686.6200000001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5532676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18.559999999999999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11120381.180000002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1621916.11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535566.87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1098438.08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8615.39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3255921.06</v>
      </c>
      <c r="G136" s="41">
        <f>SUM(G123:G135)</f>
        <v>8615.39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14376302.240000002</v>
      </c>
      <c r="G140" s="41">
        <f>G121+SUM(G136:G137)</f>
        <v>8615.39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4436.03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4436.03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10348.700000000001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352770.42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221790.91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267419.38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267419.38</v>
      </c>
      <c r="G162" s="41">
        <f>SUM(G150:G161)</f>
        <v>221790.91</v>
      </c>
      <c r="H162" s="41">
        <f>SUM(H150:H161)</f>
        <v>363119.12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271855.41000000003</v>
      </c>
      <c r="G169" s="41">
        <f>G147+G162+SUM(G163:G168)</f>
        <v>221790.91</v>
      </c>
      <c r="H169" s="41">
        <f>H147+H162+SUM(H163:H168)</f>
        <v>363119.12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49608118.640000001</v>
      </c>
      <c r="G193" s="47">
        <f>G112+G140+G169+G192</f>
        <v>904348.54</v>
      </c>
      <c r="H193" s="47">
        <f>H112+H140+H169+H192</f>
        <v>1476262.5</v>
      </c>
      <c r="I193" s="47">
        <f>I112+I140+I169+I192</f>
        <v>0</v>
      </c>
      <c r="J193" s="47">
        <f>J112+J140+J192</f>
        <v>4169.8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6251769.71</v>
      </c>
      <c r="G215" s="18">
        <v>2642415.2999999998</v>
      </c>
      <c r="H215" s="18">
        <v>101559.84</v>
      </c>
      <c r="I215" s="18">
        <v>159568.04999999999</v>
      </c>
      <c r="J215" s="18">
        <v>65242.28</v>
      </c>
      <c r="K215" s="18">
        <v>2579.98</v>
      </c>
      <c r="L215" s="19">
        <f>SUM(F215:K215)</f>
        <v>9223135.1600000001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1460787.67</v>
      </c>
      <c r="G216" s="18">
        <v>631710.86</v>
      </c>
      <c r="H216" s="18">
        <v>488993.62</v>
      </c>
      <c r="I216" s="18">
        <v>17652.73</v>
      </c>
      <c r="J216" s="18">
        <v>9090.89</v>
      </c>
      <c r="K216" s="18"/>
      <c r="L216" s="19">
        <f>SUM(F216:K216)</f>
        <v>2608235.77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156301.26999999999</v>
      </c>
      <c r="G218" s="18">
        <v>66063.350000000006</v>
      </c>
      <c r="H218" s="18">
        <v>18499.88</v>
      </c>
      <c r="I218" s="18">
        <v>15731.58</v>
      </c>
      <c r="J218" s="18"/>
      <c r="K218" s="18"/>
      <c r="L218" s="19">
        <f>SUM(F218:K218)</f>
        <v>256596.08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872841.23</v>
      </c>
      <c r="G220" s="18">
        <v>368920.98</v>
      </c>
      <c r="H220" s="18">
        <v>44241.85</v>
      </c>
      <c r="I220" s="18">
        <v>5139.7</v>
      </c>
      <c r="J220" s="18"/>
      <c r="K220" s="18"/>
      <c r="L220" s="19">
        <f t="shared" ref="L220:L226" si="2">SUM(F220:K220)</f>
        <v>1291143.76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124876.19</v>
      </c>
      <c r="G221" s="18">
        <v>52781.02</v>
      </c>
      <c r="H221" s="18">
        <v>22601.65</v>
      </c>
      <c r="I221" s="18">
        <v>22971.88</v>
      </c>
      <c r="J221" s="18"/>
      <c r="K221" s="18"/>
      <c r="L221" s="19">
        <f t="shared" si="2"/>
        <v>223230.74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73364.240000000005</v>
      </c>
      <c r="G222" s="18">
        <v>31008.63</v>
      </c>
      <c r="H222" s="18">
        <v>690257.45</v>
      </c>
      <c r="I222" s="18"/>
      <c r="J222" s="18"/>
      <c r="K222" s="18"/>
      <c r="L222" s="19">
        <f t="shared" si="2"/>
        <v>794630.32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594973.68999999994</v>
      </c>
      <c r="G223" s="18">
        <v>251475.61</v>
      </c>
      <c r="H223" s="18">
        <v>73998.52</v>
      </c>
      <c r="I223" s="18">
        <v>36157.089999999997</v>
      </c>
      <c r="J223" s="18">
        <v>5700.7</v>
      </c>
      <c r="K223" s="18">
        <v>7037.5</v>
      </c>
      <c r="L223" s="19">
        <f t="shared" si="2"/>
        <v>969343.10999999987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546748.53</v>
      </c>
      <c r="G225" s="18">
        <v>231092.43</v>
      </c>
      <c r="H225" s="18">
        <v>252410.65</v>
      </c>
      <c r="I225" s="18">
        <v>337415.24</v>
      </c>
      <c r="J225" s="18">
        <v>1508.08</v>
      </c>
      <c r="K225" s="18"/>
      <c r="L225" s="19">
        <f t="shared" si="2"/>
        <v>1369174.9300000002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13567.22</v>
      </c>
      <c r="G226" s="18">
        <v>5734.41</v>
      </c>
      <c r="H226" s="18">
        <v>768267.83</v>
      </c>
      <c r="I226" s="18"/>
      <c r="J226" s="18"/>
      <c r="K226" s="18"/>
      <c r="L226" s="19">
        <f t="shared" si="2"/>
        <v>787569.46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10095229.749999998</v>
      </c>
      <c r="G229" s="41">
        <f>SUM(G215:G228)</f>
        <v>4281202.59</v>
      </c>
      <c r="H229" s="41">
        <f>SUM(H215:H228)</f>
        <v>2460831.29</v>
      </c>
      <c r="I229" s="41">
        <f>SUM(I215:I228)</f>
        <v>594636.27</v>
      </c>
      <c r="J229" s="41">
        <f>SUM(J215:J228)</f>
        <v>81541.95</v>
      </c>
      <c r="K229" s="41">
        <f t="shared" si="3"/>
        <v>9617.48</v>
      </c>
      <c r="L229" s="41">
        <f t="shared" si="3"/>
        <v>17523059.329999998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7036266.5700000003</v>
      </c>
      <c r="G233" s="18">
        <v>2966898.71</v>
      </c>
      <c r="H233" s="18">
        <v>116451.58</v>
      </c>
      <c r="I233" s="18">
        <v>251223.45</v>
      </c>
      <c r="J233" s="18">
        <v>64107.76</v>
      </c>
      <c r="K233" s="18">
        <v>2329.98</v>
      </c>
      <c r="L233" s="19">
        <f>SUM(F233:K233)</f>
        <v>10437278.050000001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1486117.19</v>
      </c>
      <c r="G234" s="18">
        <v>626633.32999999996</v>
      </c>
      <c r="H234" s="18">
        <v>1433669.18</v>
      </c>
      <c r="I234" s="18">
        <v>19965.75</v>
      </c>
      <c r="J234" s="18">
        <v>12627.7</v>
      </c>
      <c r="K234" s="18"/>
      <c r="L234" s="19">
        <f>SUM(F234:K234)</f>
        <v>3579013.1500000004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1343954.29</v>
      </c>
      <c r="G235" s="18">
        <v>566689.19999999995</v>
      </c>
      <c r="H235" s="18">
        <v>34490.639999999999</v>
      </c>
      <c r="I235" s="18">
        <v>79617.14</v>
      </c>
      <c r="J235" s="18">
        <v>10500</v>
      </c>
      <c r="K235" s="18">
        <v>2030</v>
      </c>
      <c r="L235" s="19">
        <f>SUM(F235:K235)</f>
        <v>2037281.2699999998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384555.37</v>
      </c>
      <c r="G236" s="18">
        <v>163103.21</v>
      </c>
      <c r="H236" s="18">
        <v>121732.09</v>
      </c>
      <c r="I236" s="18">
        <v>73554.259999999995</v>
      </c>
      <c r="J236" s="18"/>
      <c r="K236" s="18"/>
      <c r="L236" s="19">
        <f>SUM(F236:K236)</f>
        <v>742944.92999999993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1104733.3799999999</v>
      </c>
      <c r="G238" s="18">
        <v>465819.76</v>
      </c>
      <c r="H238" s="18">
        <v>68695.39</v>
      </c>
      <c r="I238" s="18">
        <v>26970</v>
      </c>
      <c r="J238" s="18">
        <v>20000</v>
      </c>
      <c r="K238" s="18"/>
      <c r="L238" s="19">
        <f t="shared" ref="L238:L244" si="4">SUM(F238:K238)</f>
        <v>1686218.5299999998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178555.76</v>
      </c>
      <c r="G239" s="18">
        <v>75289.48</v>
      </c>
      <c r="H239" s="18">
        <v>23960.87</v>
      </c>
      <c r="I239" s="18">
        <v>30102.95</v>
      </c>
      <c r="J239" s="18"/>
      <c r="K239" s="18"/>
      <c r="L239" s="19">
        <f t="shared" si="4"/>
        <v>307909.06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150296.85</v>
      </c>
      <c r="G240" s="18">
        <v>63373.88</v>
      </c>
      <c r="H240" s="18">
        <v>548225.46</v>
      </c>
      <c r="I240" s="18">
        <v>5657.3</v>
      </c>
      <c r="J240" s="18"/>
      <c r="K240" s="18"/>
      <c r="L240" s="19">
        <f t="shared" si="4"/>
        <v>767553.49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827849.72</v>
      </c>
      <c r="G241" s="18">
        <v>349069.53</v>
      </c>
      <c r="H241" s="18">
        <v>77799.320000000007</v>
      </c>
      <c r="I241" s="18">
        <v>125443.74</v>
      </c>
      <c r="J241" s="18"/>
      <c r="K241" s="18">
        <v>10849.18</v>
      </c>
      <c r="L241" s="19">
        <f t="shared" si="4"/>
        <v>1391011.49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970771.87</v>
      </c>
      <c r="G243" s="18">
        <v>409333.81</v>
      </c>
      <c r="H243" s="18">
        <v>826752.7</v>
      </c>
      <c r="I243" s="18">
        <v>1505558.17</v>
      </c>
      <c r="J243" s="18">
        <v>8989.43</v>
      </c>
      <c r="K243" s="18"/>
      <c r="L243" s="19">
        <f t="shared" si="4"/>
        <v>3721405.98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13567.21</v>
      </c>
      <c r="G244" s="18">
        <v>5720.72</v>
      </c>
      <c r="H244" s="18">
        <v>909082.94</v>
      </c>
      <c r="I244" s="18"/>
      <c r="J244" s="18"/>
      <c r="K244" s="18"/>
      <c r="L244" s="19">
        <f t="shared" si="4"/>
        <v>928370.87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13496668.210000001</v>
      </c>
      <c r="G247" s="41">
        <f t="shared" si="5"/>
        <v>5691931.6299999999</v>
      </c>
      <c r="H247" s="41">
        <f t="shared" si="5"/>
        <v>4160860.1699999995</v>
      </c>
      <c r="I247" s="41">
        <f t="shared" si="5"/>
        <v>2118092.7599999998</v>
      </c>
      <c r="J247" s="41">
        <f t="shared" si="5"/>
        <v>116224.89000000001</v>
      </c>
      <c r="K247" s="41">
        <f t="shared" si="5"/>
        <v>15209.16</v>
      </c>
      <c r="L247" s="41">
        <f t="shared" si="5"/>
        <v>25598986.82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89454.14</v>
      </c>
      <c r="G251" s="18"/>
      <c r="H251" s="18"/>
      <c r="I251" s="18">
        <v>15683.99</v>
      </c>
      <c r="J251" s="18"/>
      <c r="K251" s="18"/>
      <c r="L251" s="19">
        <f t="shared" si="6"/>
        <v>105138.13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89454.14</v>
      </c>
      <c r="G256" s="41">
        <f t="shared" si="7"/>
        <v>0</v>
      </c>
      <c r="H256" s="41">
        <f t="shared" si="7"/>
        <v>0</v>
      </c>
      <c r="I256" s="41">
        <f t="shared" si="7"/>
        <v>15683.99</v>
      </c>
      <c r="J256" s="41">
        <f t="shared" si="7"/>
        <v>0</v>
      </c>
      <c r="K256" s="41">
        <f t="shared" si="7"/>
        <v>0</v>
      </c>
      <c r="L256" s="41">
        <f>SUM(F256:K256)</f>
        <v>105138.13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23681352.100000001</v>
      </c>
      <c r="G257" s="41">
        <f t="shared" si="8"/>
        <v>9973134.2199999988</v>
      </c>
      <c r="H257" s="41">
        <f t="shared" si="8"/>
        <v>6621691.459999999</v>
      </c>
      <c r="I257" s="41">
        <f t="shared" si="8"/>
        <v>2728413.02</v>
      </c>
      <c r="J257" s="41">
        <f t="shared" si="8"/>
        <v>197766.84000000003</v>
      </c>
      <c r="K257" s="41">
        <f t="shared" si="8"/>
        <v>24826.639999999999</v>
      </c>
      <c r="L257" s="41">
        <f t="shared" si="8"/>
        <v>43227184.280000001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2541719.69</v>
      </c>
      <c r="L260" s="19">
        <f>SUM(F260:K260)</f>
        <v>2541719.69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1957158.31</v>
      </c>
      <c r="L261" s="19">
        <f>SUM(F261:K261)</f>
        <v>1957158.31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280000</v>
      </c>
      <c r="L268" s="19">
        <f t="shared" si="9"/>
        <v>280000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4778878</v>
      </c>
      <c r="L270" s="41">
        <f t="shared" si="9"/>
        <v>4778878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23681352.100000001</v>
      </c>
      <c r="G271" s="42">
        <f t="shared" si="11"/>
        <v>9973134.2199999988</v>
      </c>
      <c r="H271" s="42">
        <f t="shared" si="11"/>
        <v>6621691.459999999</v>
      </c>
      <c r="I271" s="42">
        <f t="shared" si="11"/>
        <v>2728413.02</v>
      </c>
      <c r="J271" s="42">
        <f t="shared" si="11"/>
        <v>197766.84000000003</v>
      </c>
      <c r="K271" s="42">
        <f t="shared" si="11"/>
        <v>4803704.6399999997</v>
      </c>
      <c r="L271" s="42">
        <f t="shared" si="11"/>
        <v>48006062.280000001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>
        <v>285243.81</v>
      </c>
      <c r="L300" s="19">
        <f t="shared" ref="L300:L306" si="14">SUM(F300:K300)</f>
        <v>285243.81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285243.81</v>
      </c>
      <c r="L309" s="41">
        <f t="shared" si="15"/>
        <v>285243.81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7425</v>
      </c>
      <c r="G316" s="18">
        <v>1619.39</v>
      </c>
      <c r="H316" s="18"/>
      <c r="I316" s="18">
        <v>111232.7</v>
      </c>
      <c r="J316" s="18"/>
      <c r="K316" s="18"/>
      <c r="L316" s="19">
        <f>SUM(F316:K316)</f>
        <v>120277.09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>
        <v>10484.799999999999</v>
      </c>
      <c r="J319" s="18"/>
      <c r="K319" s="18">
        <v>549174.82999999996</v>
      </c>
      <c r="L319" s="19">
        <f t="shared" ref="L319:L325" si="16">SUM(F319:K319)</f>
        <v>559659.63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7425</v>
      </c>
      <c r="G328" s="42">
        <f t="shared" si="17"/>
        <v>1619.39</v>
      </c>
      <c r="H328" s="42">
        <f t="shared" si="17"/>
        <v>0</v>
      </c>
      <c r="I328" s="42">
        <f t="shared" si="17"/>
        <v>121717.5</v>
      </c>
      <c r="J328" s="42">
        <f t="shared" si="17"/>
        <v>0</v>
      </c>
      <c r="K328" s="42">
        <f t="shared" si="17"/>
        <v>549174.82999999996</v>
      </c>
      <c r="L328" s="41">
        <f t="shared" si="17"/>
        <v>679936.72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257733.7</v>
      </c>
      <c r="G333" s="18">
        <v>48325.22</v>
      </c>
      <c r="H333" s="18">
        <v>19547.599999999999</v>
      </c>
      <c r="I333" s="18">
        <v>13628.37</v>
      </c>
      <c r="J333" s="18">
        <v>2928.47</v>
      </c>
      <c r="K333" s="18">
        <v>10607.06</v>
      </c>
      <c r="L333" s="19">
        <f t="shared" si="18"/>
        <v>352770.42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>
        <v>30430.639999999999</v>
      </c>
      <c r="G334" s="18">
        <v>5880.65</v>
      </c>
      <c r="H334" s="18">
        <v>18266.04</v>
      </c>
      <c r="I334" s="18">
        <v>4978.3599999999997</v>
      </c>
      <c r="J334" s="18"/>
      <c r="K334" s="18">
        <v>66904.56</v>
      </c>
      <c r="L334" s="19">
        <f t="shared" si="18"/>
        <v>126460.25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>
        <v>2380</v>
      </c>
      <c r="I335" s="18">
        <v>7968.7</v>
      </c>
      <c r="J335" s="18"/>
      <c r="K335" s="18"/>
      <c r="L335" s="19">
        <f t="shared" si="18"/>
        <v>10348.700000000001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288164.34000000003</v>
      </c>
      <c r="G337" s="41">
        <f t="shared" si="19"/>
        <v>54205.87</v>
      </c>
      <c r="H337" s="41">
        <f t="shared" si="19"/>
        <v>40193.64</v>
      </c>
      <c r="I337" s="41">
        <f t="shared" si="19"/>
        <v>26575.43</v>
      </c>
      <c r="J337" s="41">
        <f t="shared" si="19"/>
        <v>2928.47</v>
      </c>
      <c r="K337" s="41">
        <f t="shared" si="19"/>
        <v>77511.62</v>
      </c>
      <c r="L337" s="41">
        <f t="shared" si="18"/>
        <v>489579.37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295589.34000000003</v>
      </c>
      <c r="G338" s="41">
        <f t="shared" si="20"/>
        <v>55825.26</v>
      </c>
      <c r="H338" s="41">
        <f t="shared" si="20"/>
        <v>40193.64</v>
      </c>
      <c r="I338" s="41">
        <f t="shared" si="20"/>
        <v>148292.93</v>
      </c>
      <c r="J338" s="41">
        <f t="shared" si="20"/>
        <v>2928.47</v>
      </c>
      <c r="K338" s="41">
        <f t="shared" si="20"/>
        <v>911930.25999999989</v>
      </c>
      <c r="L338" s="41">
        <f t="shared" si="20"/>
        <v>1454759.9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295589.34000000003</v>
      </c>
      <c r="G352" s="41">
        <f>G338</f>
        <v>55825.26</v>
      </c>
      <c r="H352" s="41">
        <f>H338</f>
        <v>40193.64</v>
      </c>
      <c r="I352" s="41">
        <f>I338</f>
        <v>148292.93</v>
      </c>
      <c r="J352" s="41">
        <f>J338</f>
        <v>2928.47</v>
      </c>
      <c r="K352" s="47">
        <f>K338+K351</f>
        <v>911930.25999999989</v>
      </c>
      <c r="L352" s="41">
        <f>L338+L351</f>
        <v>1454759.9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150764.04999999999</v>
      </c>
      <c r="G359" s="18">
        <v>37664.47</v>
      </c>
      <c r="H359" s="18">
        <v>3636.79</v>
      </c>
      <c r="I359" s="18">
        <v>155806.14000000001</v>
      </c>
      <c r="J359" s="18">
        <v>7719.96</v>
      </c>
      <c r="K359" s="18">
        <v>2007.17</v>
      </c>
      <c r="L359" s="19">
        <f>SUM(F359:K359)</f>
        <v>357598.58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182695.99</v>
      </c>
      <c r="G360" s="18">
        <v>63367.53</v>
      </c>
      <c r="H360" s="18">
        <v>12855.07</v>
      </c>
      <c r="I360" s="18">
        <v>319032.5</v>
      </c>
      <c r="J360" s="18">
        <v>48151.83</v>
      </c>
      <c r="K360" s="18">
        <v>14322.99</v>
      </c>
      <c r="L360" s="19">
        <f>SUM(F360:K360)</f>
        <v>640425.90999999992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333460.03999999998</v>
      </c>
      <c r="G362" s="47">
        <f t="shared" si="22"/>
        <v>101032</v>
      </c>
      <c r="H362" s="47">
        <f t="shared" si="22"/>
        <v>16491.86</v>
      </c>
      <c r="I362" s="47">
        <f t="shared" si="22"/>
        <v>474838.64</v>
      </c>
      <c r="J362" s="47">
        <f t="shared" si="22"/>
        <v>55871.79</v>
      </c>
      <c r="K362" s="47">
        <f t="shared" si="22"/>
        <v>16330.16</v>
      </c>
      <c r="L362" s="47">
        <f t="shared" si="22"/>
        <v>998024.49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>
        <v>147220.14000000001</v>
      </c>
      <c r="H367" s="18">
        <v>308403.96000000002</v>
      </c>
      <c r="I367" s="56">
        <f>SUM(F367:H367)</f>
        <v>455624.10000000003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>
        <v>8586</v>
      </c>
      <c r="H368" s="63">
        <v>10628.54</v>
      </c>
      <c r="I368" s="56">
        <f>SUM(F368:H368)</f>
        <v>19214.54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155806.14000000001</v>
      </c>
      <c r="H369" s="47">
        <f>SUM(H367:H368)</f>
        <v>319032.5</v>
      </c>
      <c r="I369" s="47">
        <f>SUM(I367:I368)</f>
        <v>474838.64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1169.54</v>
      </c>
      <c r="I389" s="18"/>
      <c r="J389" s="24" t="s">
        <v>289</v>
      </c>
      <c r="K389" s="24" t="s">
        <v>289</v>
      </c>
      <c r="L389" s="56">
        <f t="shared" si="25"/>
        <v>1169.54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1169.54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1169.54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1493.63</v>
      </c>
      <c r="I396" s="18"/>
      <c r="J396" s="24" t="s">
        <v>289</v>
      </c>
      <c r="K396" s="24" t="s">
        <v>289</v>
      </c>
      <c r="L396" s="56">
        <f t="shared" si="26"/>
        <v>1493.63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1506.63</v>
      </c>
      <c r="I397" s="18"/>
      <c r="J397" s="24" t="s">
        <v>289</v>
      </c>
      <c r="K397" s="24" t="s">
        <v>289</v>
      </c>
      <c r="L397" s="56">
        <f t="shared" si="26"/>
        <v>1506.63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3000.26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3000.26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4169.8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4169.8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390254.71</v>
      </c>
      <c r="G439" s="18">
        <v>1000482.9</v>
      </c>
      <c r="H439" s="18"/>
      <c r="I439" s="56">
        <f t="shared" ref="I439:I445" si="33">SUM(F439:H439)</f>
        <v>1390737.61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390254.71</v>
      </c>
      <c r="G446" s="13">
        <f>SUM(G439:G445)</f>
        <v>1000482.9</v>
      </c>
      <c r="H446" s="13">
        <f>SUM(H439:H445)</f>
        <v>0</v>
      </c>
      <c r="I446" s="13">
        <f>SUM(I439:I445)</f>
        <v>1390737.61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390254.71</v>
      </c>
      <c r="G459" s="18">
        <v>1000482.9</v>
      </c>
      <c r="H459" s="18"/>
      <c r="I459" s="56">
        <f t="shared" si="34"/>
        <v>1390737.61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390254.71</v>
      </c>
      <c r="G460" s="83">
        <f>SUM(G454:G459)</f>
        <v>1000482.9</v>
      </c>
      <c r="H460" s="83">
        <f>SUM(H454:H459)</f>
        <v>0</v>
      </c>
      <c r="I460" s="83">
        <f>SUM(I454:I459)</f>
        <v>1390737.61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390254.71</v>
      </c>
      <c r="G461" s="42">
        <f>G452+G460</f>
        <v>1000482.9</v>
      </c>
      <c r="H461" s="42">
        <f>H452+H460</f>
        <v>0</v>
      </c>
      <c r="I461" s="42">
        <f>I452+I460</f>
        <v>1390737.61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2190100.04</v>
      </c>
      <c r="G465" s="18">
        <v>351046.6</v>
      </c>
      <c r="H465" s="18">
        <v>468536.58</v>
      </c>
      <c r="I465" s="18"/>
      <c r="J465" s="18">
        <v>1386567.81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49608118.640000001</v>
      </c>
      <c r="G468" s="18">
        <v>904348.54</v>
      </c>
      <c r="H468" s="18">
        <v>1476262.5</v>
      </c>
      <c r="I468" s="18"/>
      <c r="J468" s="18">
        <v>4169.8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49608118.640000001</v>
      </c>
      <c r="G470" s="53">
        <f>SUM(G468:G469)</f>
        <v>904348.54</v>
      </c>
      <c r="H470" s="53">
        <f>SUM(H468:H469)</f>
        <v>1476262.5</v>
      </c>
      <c r="I470" s="53">
        <f>SUM(I468:I469)</f>
        <v>0</v>
      </c>
      <c r="J470" s="53">
        <f>SUM(J468:J469)</f>
        <v>4169.8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48006062.280000001</v>
      </c>
      <c r="G472" s="18">
        <v>998024.49</v>
      </c>
      <c r="H472" s="18">
        <v>1454759.9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48006062.280000001</v>
      </c>
      <c r="G474" s="53">
        <f>SUM(G472:G473)</f>
        <v>998024.49</v>
      </c>
      <c r="H474" s="53">
        <f>SUM(H472:H473)</f>
        <v>1454759.9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3792156.3999999985</v>
      </c>
      <c r="G476" s="53">
        <f>(G465+G470)- G474</f>
        <v>257370.65000000014</v>
      </c>
      <c r="H476" s="53">
        <f>(H465+H470)- H474</f>
        <v>490039.18000000017</v>
      </c>
      <c r="I476" s="53">
        <f>(I465+I470)- I474</f>
        <v>0</v>
      </c>
      <c r="J476" s="53">
        <f>(J465+J470)- J474</f>
        <v>1390737.61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913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911</v>
      </c>
      <c r="G492" s="155" t="s">
        <v>914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15600000</v>
      </c>
      <c r="G493" s="18">
        <v>42695000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5.46</v>
      </c>
      <c r="G494" s="18">
        <f>3/7</f>
        <v>0.42857142857142855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1767600.99</v>
      </c>
      <c r="G495" s="18">
        <v>18272133.219999999</v>
      </c>
      <c r="H495" s="18"/>
      <c r="I495" s="18"/>
      <c r="J495" s="18"/>
      <c r="K495" s="53">
        <f>SUM(F495:J495)</f>
        <v>20039734.209999997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482028.31</v>
      </c>
      <c r="G497" s="18">
        <v>2059691.38</v>
      </c>
      <c r="H497" s="18"/>
      <c r="I497" s="18"/>
      <c r="J497" s="18"/>
      <c r="K497" s="53">
        <f t="shared" si="35"/>
        <v>2541719.69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1719902.47</v>
      </c>
      <c r="G498" s="204">
        <v>16212441.84</v>
      </c>
      <c r="H498" s="204"/>
      <c r="I498" s="204"/>
      <c r="J498" s="204"/>
      <c r="K498" s="205">
        <f t="shared" si="35"/>
        <v>17932344.309999999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746620.21</v>
      </c>
      <c r="G499" s="18">
        <v>15387255.16</v>
      </c>
      <c r="H499" s="18"/>
      <c r="I499" s="18"/>
      <c r="J499" s="18"/>
      <c r="K499" s="53">
        <f t="shared" si="35"/>
        <v>16133875.370000001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2466522.6799999997</v>
      </c>
      <c r="G500" s="42">
        <f>SUM(G498:G499)</f>
        <v>31599697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34066219.68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453248.47</v>
      </c>
      <c r="G501" s="204">
        <v>1968160.43</v>
      </c>
      <c r="H501" s="204"/>
      <c r="I501" s="204"/>
      <c r="J501" s="204"/>
      <c r="K501" s="205">
        <f t="shared" si="35"/>
        <v>2421408.9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1303875</v>
      </c>
      <c r="G502" s="18">
        <v>1156617.57</v>
      </c>
      <c r="H502" s="18"/>
      <c r="I502" s="18"/>
      <c r="J502" s="18"/>
      <c r="K502" s="53">
        <f t="shared" si="35"/>
        <v>2460492.5700000003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1757123.47</v>
      </c>
      <c r="G503" s="42">
        <f>SUM(G501:G502)</f>
        <v>3124778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4881901.47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1470828.29</v>
      </c>
      <c r="G522" s="18">
        <v>621670.24</v>
      </c>
      <c r="H522" s="18">
        <v>488993.62</v>
      </c>
      <c r="I522" s="18">
        <v>17652.73</v>
      </c>
      <c r="J522" s="18">
        <v>9090.89</v>
      </c>
      <c r="K522" s="18"/>
      <c r="L522" s="88">
        <f>SUM(F522:K522)</f>
        <v>2608235.77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1486117.19</v>
      </c>
      <c r="G523" s="18">
        <v>626633.32999999996</v>
      </c>
      <c r="H523" s="18">
        <v>1433669.18</v>
      </c>
      <c r="I523" s="18">
        <v>19965.75</v>
      </c>
      <c r="J523" s="18">
        <v>12627.7</v>
      </c>
      <c r="K523" s="18"/>
      <c r="L523" s="88">
        <f>SUM(F523:K523)</f>
        <v>3579013.1500000004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2956945.48</v>
      </c>
      <c r="G524" s="108">
        <f t="shared" ref="G524:L524" si="36">SUM(G521:G523)</f>
        <v>1248303.5699999998</v>
      </c>
      <c r="H524" s="108">
        <f t="shared" si="36"/>
        <v>1922662.7999999998</v>
      </c>
      <c r="I524" s="108">
        <f t="shared" si="36"/>
        <v>37618.479999999996</v>
      </c>
      <c r="J524" s="108">
        <f t="shared" si="36"/>
        <v>21718.59</v>
      </c>
      <c r="K524" s="108">
        <f t="shared" si="36"/>
        <v>0</v>
      </c>
      <c r="L524" s="89">
        <f t="shared" si="36"/>
        <v>6187248.9199999999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267189.08</v>
      </c>
      <c r="G527" s="18">
        <v>106875.63</v>
      </c>
      <c r="H527" s="18">
        <v>23499.94</v>
      </c>
      <c r="I527" s="18"/>
      <c r="J527" s="18"/>
      <c r="K527" s="18"/>
      <c r="L527" s="88">
        <f>SUM(F527:K527)</f>
        <v>397564.65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141962.78</v>
      </c>
      <c r="G528" s="18">
        <v>56785.11</v>
      </c>
      <c r="H528" s="18">
        <v>6177.21</v>
      </c>
      <c r="I528" s="18"/>
      <c r="J528" s="18"/>
      <c r="K528" s="18"/>
      <c r="L528" s="88">
        <f>SUM(F528:K528)</f>
        <v>204925.1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409151.86</v>
      </c>
      <c r="G529" s="89">
        <f t="shared" ref="G529:L529" si="37">SUM(G526:G528)</f>
        <v>163660.74</v>
      </c>
      <c r="H529" s="89">
        <f t="shared" si="37"/>
        <v>29677.149999999998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602489.75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66514.240000000005</v>
      </c>
      <c r="G532" s="18">
        <v>26605.7</v>
      </c>
      <c r="H532" s="18"/>
      <c r="I532" s="18"/>
      <c r="J532" s="18"/>
      <c r="K532" s="18"/>
      <c r="L532" s="88">
        <f>SUM(F532:K532)</f>
        <v>93119.94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66514.25</v>
      </c>
      <c r="G533" s="18">
        <v>26605.7</v>
      </c>
      <c r="H533" s="18"/>
      <c r="I533" s="18"/>
      <c r="J533" s="18"/>
      <c r="K533" s="18"/>
      <c r="L533" s="88">
        <f>SUM(F533:K533)</f>
        <v>93119.95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133028.49</v>
      </c>
      <c r="G534" s="89">
        <f t="shared" ref="G534:L534" si="38">SUM(G531:G533)</f>
        <v>53211.4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186239.89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9300.15</v>
      </c>
      <c r="I537" s="18"/>
      <c r="J537" s="18"/>
      <c r="K537" s="18"/>
      <c r="L537" s="88">
        <f>SUM(F537:K537)</f>
        <v>9300.15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9300.16</v>
      </c>
      <c r="I538" s="18"/>
      <c r="J538" s="18"/>
      <c r="K538" s="18"/>
      <c r="L538" s="88">
        <f>SUM(F538:K538)</f>
        <v>9300.16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18600.309999999998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18600.309999999998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174198.1</v>
      </c>
      <c r="I542" s="18"/>
      <c r="J542" s="18"/>
      <c r="K542" s="18"/>
      <c r="L542" s="88">
        <f>SUM(F542:K542)</f>
        <v>174198.1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193164.24</v>
      </c>
      <c r="I543" s="18"/>
      <c r="J543" s="18"/>
      <c r="K543" s="18"/>
      <c r="L543" s="88">
        <f>SUM(F543:K543)</f>
        <v>193164.24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367362.33999999997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367362.33999999997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3499125.83</v>
      </c>
      <c r="G545" s="89">
        <f t="shared" ref="G545:L545" si="41">G524+G529+G534+G539+G544</f>
        <v>1465175.7099999997</v>
      </c>
      <c r="H545" s="89">
        <f t="shared" si="41"/>
        <v>2338302.5999999996</v>
      </c>
      <c r="I545" s="89">
        <f t="shared" si="41"/>
        <v>37618.479999999996</v>
      </c>
      <c r="J545" s="89">
        <f t="shared" si="41"/>
        <v>21718.59</v>
      </c>
      <c r="K545" s="89">
        <f t="shared" si="41"/>
        <v>0</v>
      </c>
      <c r="L545" s="89">
        <f t="shared" si="41"/>
        <v>7361941.209999999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2608235.77</v>
      </c>
      <c r="G550" s="87">
        <f>L527</f>
        <v>397564.65</v>
      </c>
      <c r="H550" s="87">
        <f>L532</f>
        <v>93119.94</v>
      </c>
      <c r="I550" s="87">
        <f>L537</f>
        <v>9300.15</v>
      </c>
      <c r="J550" s="87">
        <f>L542</f>
        <v>174198.1</v>
      </c>
      <c r="K550" s="87">
        <f>SUM(F550:J550)</f>
        <v>3282418.61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3579013.1500000004</v>
      </c>
      <c r="G551" s="87">
        <f>L528</f>
        <v>204925.1</v>
      </c>
      <c r="H551" s="87">
        <f>L533</f>
        <v>93119.95</v>
      </c>
      <c r="I551" s="87">
        <f>L538</f>
        <v>9300.16</v>
      </c>
      <c r="J551" s="87">
        <f>L543</f>
        <v>193164.24</v>
      </c>
      <c r="K551" s="87">
        <f>SUM(F551:J551)</f>
        <v>4079522.6000000006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6187248.9199999999</v>
      </c>
      <c r="G552" s="89">
        <f t="shared" si="42"/>
        <v>602489.75</v>
      </c>
      <c r="H552" s="89">
        <f t="shared" si="42"/>
        <v>186239.89</v>
      </c>
      <c r="I552" s="89">
        <f t="shared" si="42"/>
        <v>18600.309999999998</v>
      </c>
      <c r="J552" s="89">
        <f t="shared" si="42"/>
        <v>367362.33999999997</v>
      </c>
      <c r="K552" s="89">
        <f t="shared" si="42"/>
        <v>7361941.2100000009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39834.089999999997</v>
      </c>
      <c r="G563" s="18">
        <v>15933.6</v>
      </c>
      <c r="H563" s="18"/>
      <c r="I563" s="18">
        <v>824</v>
      </c>
      <c r="J563" s="18"/>
      <c r="K563" s="18"/>
      <c r="L563" s="88">
        <f>SUM(F563:K563)</f>
        <v>56591.689999999995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>
        <v>183.61</v>
      </c>
      <c r="J564" s="18"/>
      <c r="K564" s="18"/>
      <c r="L564" s="88">
        <f>SUM(F564:K564)</f>
        <v>183.61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39834.089999999997</v>
      </c>
      <c r="G565" s="89">
        <f t="shared" si="44"/>
        <v>15933.6</v>
      </c>
      <c r="H565" s="89">
        <f t="shared" si="44"/>
        <v>0</v>
      </c>
      <c r="I565" s="89">
        <f t="shared" si="44"/>
        <v>1007.61</v>
      </c>
      <c r="J565" s="89">
        <f t="shared" si="44"/>
        <v>0</v>
      </c>
      <c r="K565" s="89">
        <f t="shared" si="44"/>
        <v>0</v>
      </c>
      <c r="L565" s="89">
        <f t="shared" si="44"/>
        <v>56775.299999999996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39834.089999999997</v>
      </c>
      <c r="G571" s="89">
        <f t="shared" ref="G571:L571" si="46">G560+G565+G570</f>
        <v>15933.6</v>
      </c>
      <c r="H571" s="89">
        <f t="shared" si="46"/>
        <v>0</v>
      </c>
      <c r="I571" s="89">
        <f t="shared" si="46"/>
        <v>1007.61</v>
      </c>
      <c r="J571" s="89">
        <f t="shared" si="46"/>
        <v>0</v>
      </c>
      <c r="K571" s="89">
        <f t="shared" si="46"/>
        <v>0</v>
      </c>
      <c r="L571" s="89">
        <f t="shared" si="46"/>
        <v>56775.299999999996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41865</v>
      </c>
      <c r="I579" s="87">
        <f t="shared" si="47"/>
        <v>41865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>
        <v>104239</v>
      </c>
      <c r="H580" s="18"/>
      <c r="I580" s="87">
        <f t="shared" si="47"/>
        <v>104239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263822.93</v>
      </c>
      <c r="H582" s="18">
        <v>1251143.5</v>
      </c>
      <c r="I582" s="87">
        <f t="shared" si="47"/>
        <v>1514966.43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>
        <v>538474.05000000005</v>
      </c>
      <c r="J591" s="18">
        <v>539631.48</v>
      </c>
      <c r="K591" s="104">
        <f t="shared" ref="K591:K597" si="48">SUM(H591:J591)</f>
        <v>1078105.53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>
        <v>174198.1</v>
      </c>
      <c r="J592" s="18">
        <v>193164.24</v>
      </c>
      <c r="K592" s="104">
        <f t="shared" si="48"/>
        <v>367362.33999999997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53829.62</v>
      </c>
      <c r="K593" s="104">
        <f t="shared" si="48"/>
        <v>53829.62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17140.28</v>
      </c>
      <c r="J594" s="18">
        <v>99572.6</v>
      </c>
      <c r="K594" s="104">
        <f t="shared" si="48"/>
        <v>116712.88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>
        <v>57757.03</v>
      </c>
      <c r="J597" s="18">
        <v>42172.93</v>
      </c>
      <c r="K597" s="104">
        <f t="shared" si="48"/>
        <v>99929.959999999992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787569.46000000008</v>
      </c>
      <c r="J598" s="108">
        <f>SUM(J591:J597)</f>
        <v>928370.87</v>
      </c>
      <c r="K598" s="108">
        <f>SUM(K591:K597)</f>
        <v>1715940.33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>
        <v>81541.95</v>
      </c>
      <c r="J604" s="18">
        <v>119153.36</v>
      </c>
      <c r="K604" s="104">
        <f>SUM(H604:J604)</f>
        <v>200695.31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81541.95</v>
      </c>
      <c r="J605" s="108">
        <f>SUM(J602:J604)</f>
        <v>119153.36</v>
      </c>
      <c r="K605" s="108">
        <f>SUM(K602:K604)</f>
        <v>200695.31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5382913.29</v>
      </c>
      <c r="H617" s="109">
        <f>SUM(F52)</f>
        <v>5382913.29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285370.68000000005</v>
      </c>
      <c r="H618" s="109">
        <f>SUM(G52)</f>
        <v>285370.68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581232.09</v>
      </c>
      <c r="H619" s="109">
        <f>SUM(H52)</f>
        <v>581232.09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1390737.61</v>
      </c>
      <c r="H621" s="109">
        <f>SUM(J52)</f>
        <v>1390737.61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3792156.4000000004</v>
      </c>
      <c r="H622" s="109">
        <f>F476</f>
        <v>3792156.3999999985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257370.65</v>
      </c>
      <c r="H623" s="109">
        <f>G476</f>
        <v>257370.65000000014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490039.18</v>
      </c>
      <c r="H624" s="109">
        <f>H476</f>
        <v>490039.18000000017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1390737.61</v>
      </c>
      <c r="H626" s="109">
        <f>J476</f>
        <v>1390737.61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49608118.640000001</v>
      </c>
      <c r="H627" s="104">
        <f>SUM(F468)</f>
        <v>49608118.640000001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904348.54</v>
      </c>
      <c r="H628" s="104">
        <f>SUM(G468)</f>
        <v>904348.54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1476262.5</v>
      </c>
      <c r="H629" s="104">
        <f>SUM(H468)</f>
        <v>1476262.5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4169.8</v>
      </c>
      <c r="H631" s="104">
        <f>SUM(J468)</f>
        <v>4169.8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48006062.280000001</v>
      </c>
      <c r="H632" s="104">
        <f>SUM(F472)</f>
        <v>48006062.280000001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1454759.9</v>
      </c>
      <c r="H633" s="104">
        <f>SUM(H472)</f>
        <v>1454759.9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474838.64</v>
      </c>
      <c r="H634" s="104">
        <f>I369</f>
        <v>474838.64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998024.49</v>
      </c>
      <c r="H635" s="104">
        <f>SUM(G472)</f>
        <v>998024.49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4169.8</v>
      </c>
      <c r="H637" s="164">
        <f>SUM(J468)</f>
        <v>4169.8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390254.71</v>
      </c>
      <c r="H639" s="104">
        <f>SUM(F461)</f>
        <v>390254.71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1000482.9</v>
      </c>
      <c r="H640" s="104">
        <f>SUM(G461)</f>
        <v>1000482.9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1390737.61</v>
      </c>
      <c r="H642" s="104">
        <f>SUM(I461)</f>
        <v>1390737.61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4169.8</v>
      </c>
      <c r="H644" s="104">
        <f>H408</f>
        <v>4169.8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4169.8</v>
      </c>
      <c r="H646" s="104">
        <f>L408</f>
        <v>4169.8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1715940.33</v>
      </c>
      <c r="H647" s="104">
        <f>L208+L226+L244</f>
        <v>1715940.33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200695.31</v>
      </c>
      <c r="H648" s="104">
        <f>(J257+J338)-(J255+J336)</f>
        <v>200695.31000000003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787569.46</v>
      </c>
      <c r="H650" s="104">
        <f>I598</f>
        <v>787569.46000000008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928370.87</v>
      </c>
      <c r="H651" s="104">
        <f>J598</f>
        <v>928370.87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18165901.719999995</v>
      </c>
      <c r="H660" s="19">
        <f>(L247+L328+L360)</f>
        <v>26919349.449999999</v>
      </c>
      <c r="I660" s="19">
        <f>SUM(F660:H660)</f>
        <v>45085251.169999994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241384.96761942242</v>
      </c>
      <c r="H661" s="19">
        <f>(L360/IF(SUM(L358:L360)=0,1,SUM(L358:L360))*(SUM(G97:G110)))</f>
        <v>432298.10238057747</v>
      </c>
      <c r="I661" s="19">
        <f>SUM(F661:H661)</f>
        <v>673683.06999999983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787569.46</v>
      </c>
      <c r="H662" s="19">
        <f>(L244+L325)-(J244+J325)</f>
        <v>928370.87</v>
      </c>
      <c r="I662" s="19">
        <f>SUM(F662:H662)</f>
        <v>1715940.33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449603.88</v>
      </c>
      <c r="H663" s="199">
        <f>SUM(H575:H587)+SUM(J602:J604)+L613</f>
        <v>1412161.86</v>
      </c>
      <c r="I663" s="19">
        <f>SUM(F663:H663)</f>
        <v>1861765.7400000002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16687343.412380572</v>
      </c>
      <c r="H664" s="19">
        <f>H660-SUM(H661:H663)</f>
        <v>24146518.617619421</v>
      </c>
      <c r="I664" s="19">
        <f>I660-SUM(I661:I663)</f>
        <v>40833862.029999994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>
        <v>1360.74</v>
      </c>
      <c r="H665" s="248">
        <v>1679.31</v>
      </c>
      <c r="I665" s="19">
        <f>SUM(F665:H665)</f>
        <v>3040.05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>
        <f>ROUND(G664/G665,2)</f>
        <v>12263.43</v>
      </c>
      <c r="H667" s="19">
        <f>ROUND(H664/H665,2)</f>
        <v>14378.83</v>
      </c>
      <c r="I667" s="19">
        <f>ROUND(I664/I665,2)</f>
        <v>13431.97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113.89</v>
      </c>
      <c r="I670" s="19">
        <f>SUM(F670:H670)</f>
        <v>113.89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>
        <f>ROUND((G664+G669)/(G665+G670),2)</f>
        <v>12263.43</v>
      </c>
      <c r="H672" s="19">
        <f>ROUND((H664+H669)/(H665+H670),2)</f>
        <v>13465.6</v>
      </c>
      <c r="I672" s="19">
        <f>ROUND((I664+I669)/(I665+I670),2)</f>
        <v>12946.94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E36" sqref="E3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EXETER REGION COOPERATIVE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13288036.280000001</v>
      </c>
      <c r="C9" s="229">
        <f>'DOE25'!G197+'DOE25'!G215+'DOE25'!G233+'DOE25'!G276+'DOE25'!G295+'DOE25'!G314</f>
        <v>5609314.0099999998</v>
      </c>
    </row>
    <row r="10" spans="1:3" x14ac:dyDescent="0.2">
      <c r="A10" t="s">
        <v>779</v>
      </c>
      <c r="B10" s="240">
        <v>13097620.18</v>
      </c>
      <c r="C10" s="240">
        <v>5524259.9800000004</v>
      </c>
    </row>
    <row r="11" spans="1:3" x14ac:dyDescent="0.2">
      <c r="A11" t="s">
        <v>780</v>
      </c>
      <c r="B11" s="240">
        <v>190416.1</v>
      </c>
      <c r="C11" s="240">
        <v>85054.03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13288036.279999999</v>
      </c>
      <c r="C13" s="231">
        <f>SUM(C10:C12)</f>
        <v>5609314.0100000007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2946904.86</v>
      </c>
      <c r="C18" s="229">
        <f>'DOE25'!G198+'DOE25'!G216+'DOE25'!G234+'DOE25'!G277+'DOE25'!G296+'DOE25'!G315</f>
        <v>1258344.19</v>
      </c>
    </row>
    <row r="19" spans="1:3" x14ac:dyDescent="0.2">
      <c r="A19" t="s">
        <v>779</v>
      </c>
      <c r="B19" s="240">
        <v>1856074.54</v>
      </c>
      <c r="C19" s="240">
        <v>796270.44</v>
      </c>
    </row>
    <row r="20" spans="1:3" x14ac:dyDescent="0.2">
      <c r="A20" t="s">
        <v>780</v>
      </c>
      <c r="B20" s="240">
        <v>1090830.32</v>
      </c>
      <c r="C20" s="240">
        <v>462073.75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2946904.8600000003</v>
      </c>
      <c r="C22" s="231">
        <f>SUM(C19:C21)</f>
        <v>1258344.19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1351379.29</v>
      </c>
      <c r="C27" s="234">
        <f>'DOE25'!G199+'DOE25'!G217+'DOE25'!G235+'DOE25'!G278+'DOE25'!G297+'DOE25'!G316</f>
        <v>568308.59</v>
      </c>
    </row>
    <row r="28" spans="1:3" x14ac:dyDescent="0.2">
      <c r="A28" t="s">
        <v>779</v>
      </c>
      <c r="B28" s="240">
        <v>1258902.8</v>
      </c>
      <c r="C28" s="240">
        <v>529436.28</v>
      </c>
    </row>
    <row r="29" spans="1:3" x14ac:dyDescent="0.2">
      <c r="A29" t="s">
        <v>780</v>
      </c>
      <c r="B29" s="240">
        <v>92476.49</v>
      </c>
      <c r="C29" s="240">
        <v>38872.31</v>
      </c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1351379.29</v>
      </c>
      <c r="C31" s="231">
        <f>SUM(C28:C30)</f>
        <v>568308.59000000008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540856.64</v>
      </c>
      <c r="C36" s="235">
        <f>'DOE25'!G200+'DOE25'!G218+'DOE25'!G236+'DOE25'!G279+'DOE25'!G298+'DOE25'!G317</f>
        <v>229166.56</v>
      </c>
    </row>
    <row r="37" spans="1:3" x14ac:dyDescent="0.2">
      <c r="A37" t="s">
        <v>779</v>
      </c>
      <c r="B37" s="240">
        <v>540856.64</v>
      </c>
      <c r="C37" s="240">
        <v>229166.56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540856.64</v>
      </c>
      <c r="C40" s="231">
        <f>SUM(C37:C39)</f>
        <v>229166.56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EXETER REGION COOPERATIVE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28884484.410000004</v>
      </c>
      <c r="D5" s="20">
        <f>SUM('DOE25'!L197:L200)+SUM('DOE25'!L215:L218)+SUM('DOE25'!L233:L236)-F5-G5</f>
        <v>28715975.820000004</v>
      </c>
      <c r="E5" s="243"/>
      <c r="F5" s="255">
        <f>SUM('DOE25'!J197:J200)+SUM('DOE25'!J215:J218)+SUM('DOE25'!J233:J236)</f>
        <v>161568.63</v>
      </c>
      <c r="G5" s="53">
        <f>SUM('DOE25'!K197:K200)+SUM('DOE25'!K215:K218)+SUM('DOE25'!K233:K236)</f>
        <v>6939.9599999999991</v>
      </c>
      <c r="H5" s="259"/>
    </row>
    <row r="6" spans="1:9" x14ac:dyDescent="0.2">
      <c r="A6" s="32">
        <v>2100</v>
      </c>
      <c r="B6" t="s">
        <v>801</v>
      </c>
      <c r="C6" s="245">
        <f t="shared" si="0"/>
        <v>2977362.29</v>
      </c>
      <c r="D6" s="20">
        <f>'DOE25'!L202+'DOE25'!L220+'DOE25'!L238-F6-G6</f>
        <v>2957362.29</v>
      </c>
      <c r="E6" s="243"/>
      <c r="F6" s="255">
        <f>'DOE25'!J202+'DOE25'!J220+'DOE25'!J238</f>
        <v>20000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531139.80000000005</v>
      </c>
      <c r="D7" s="20">
        <f>'DOE25'!L203+'DOE25'!L221+'DOE25'!L239-F7-G7</f>
        <v>531139.80000000005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1299567.9700000002</v>
      </c>
      <c r="D8" s="243"/>
      <c r="E8" s="20">
        <f>'DOE25'!L204+'DOE25'!L222+'DOE25'!L240-F8-G8-D9-D11</f>
        <v>1299567.9700000002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109650.91</v>
      </c>
      <c r="D9" s="244">
        <v>109650.91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20000</v>
      </c>
      <c r="D10" s="243"/>
      <c r="E10" s="244">
        <v>20000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152964.93</v>
      </c>
      <c r="D11" s="244">
        <v>152964.93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2360354.5999999996</v>
      </c>
      <c r="D12" s="20">
        <f>'DOE25'!L205+'DOE25'!L223+'DOE25'!L241-F12-G12</f>
        <v>2336767.2199999993</v>
      </c>
      <c r="E12" s="243"/>
      <c r="F12" s="255">
        <f>'DOE25'!J205+'DOE25'!J223+'DOE25'!J241</f>
        <v>5700.7</v>
      </c>
      <c r="G12" s="53">
        <f>'DOE25'!K205+'DOE25'!K223+'DOE25'!K241</f>
        <v>17886.68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5090580.91</v>
      </c>
      <c r="D14" s="20">
        <f>'DOE25'!L207+'DOE25'!L225+'DOE25'!L243-F14-G14</f>
        <v>5080083.4000000004</v>
      </c>
      <c r="E14" s="243"/>
      <c r="F14" s="255">
        <f>'DOE25'!J207+'DOE25'!J225+'DOE25'!J243</f>
        <v>10497.51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1715940.33</v>
      </c>
      <c r="D15" s="20">
        <f>'DOE25'!L208+'DOE25'!L226+'DOE25'!L244-F15-G15</f>
        <v>1715940.33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105138.13</v>
      </c>
      <c r="D17" s="20">
        <f>'DOE25'!L251-F17-G17</f>
        <v>105138.13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4498878</v>
      </c>
      <c r="D25" s="243"/>
      <c r="E25" s="243"/>
      <c r="F25" s="258"/>
      <c r="G25" s="256"/>
      <c r="H25" s="257">
        <f>'DOE25'!L260+'DOE25'!L261+'DOE25'!L341+'DOE25'!L342</f>
        <v>4498878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542400.39</v>
      </c>
      <c r="D29" s="20">
        <f>'DOE25'!L358+'DOE25'!L359+'DOE25'!L360-'DOE25'!I367-F29-G29</f>
        <v>470198.43999999994</v>
      </c>
      <c r="E29" s="243"/>
      <c r="F29" s="255">
        <f>'DOE25'!J358+'DOE25'!J359+'DOE25'!J360</f>
        <v>55871.79</v>
      </c>
      <c r="G29" s="53">
        <f>'DOE25'!K358+'DOE25'!K359+'DOE25'!K360</f>
        <v>16330.16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1454759.9</v>
      </c>
      <c r="D31" s="20">
        <f>'DOE25'!L290+'DOE25'!L309+'DOE25'!L328+'DOE25'!L333+'DOE25'!L334+'DOE25'!L335-F31-G31</f>
        <v>539901.16999999993</v>
      </c>
      <c r="E31" s="243"/>
      <c r="F31" s="255">
        <f>'DOE25'!J290+'DOE25'!J309+'DOE25'!J328+'DOE25'!J333+'DOE25'!J334+'DOE25'!J335</f>
        <v>2928.47</v>
      </c>
      <c r="G31" s="53">
        <f>'DOE25'!K290+'DOE25'!K309+'DOE25'!K328+'DOE25'!K333+'DOE25'!K334+'DOE25'!K335</f>
        <v>911930.26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42715122.440000005</v>
      </c>
      <c r="E33" s="246">
        <f>SUM(E5:E31)</f>
        <v>1319567.9700000002</v>
      </c>
      <c r="F33" s="246">
        <f>SUM(F5:F31)</f>
        <v>256567.10000000003</v>
      </c>
      <c r="G33" s="246">
        <f>SUM(G5:G31)</f>
        <v>953087.06</v>
      </c>
      <c r="H33" s="246">
        <f>SUM(H5:H31)</f>
        <v>4498878</v>
      </c>
    </row>
    <row r="35" spans="2:8" ht="12" thickBot="1" x14ac:dyDescent="0.25">
      <c r="B35" s="253" t="s">
        <v>847</v>
      </c>
      <c r="D35" s="254">
        <f>E33</f>
        <v>1319567.9700000002</v>
      </c>
      <c r="E35" s="249"/>
    </row>
    <row r="36" spans="2:8" ht="12" thickTop="1" x14ac:dyDescent="0.2">
      <c r="B36" t="s">
        <v>815</v>
      </c>
      <c r="D36" s="20">
        <f>D33</f>
        <v>42715122.440000005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EXETER REGION COOPERATIVE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501028.24</v>
      </c>
      <c r="D8" s="95">
        <f>'DOE25'!G9</f>
        <v>0</v>
      </c>
      <c r="E8" s="95">
        <f>'DOE25'!H9</f>
        <v>303553.94</v>
      </c>
      <c r="F8" s="95">
        <f>'DOE25'!I9</f>
        <v>0</v>
      </c>
      <c r="G8" s="95">
        <f>'DOE25'!J9</f>
        <v>1390737.61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4432241.6399999997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76185.789999999994</v>
      </c>
      <c r="D11" s="95">
        <f>'DOE25'!G12</f>
        <v>270830.15000000002</v>
      </c>
      <c r="E11" s="95">
        <f>'DOE25'!H12</f>
        <v>198781.42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182638.36</v>
      </c>
      <c r="D12" s="95">
        <f>'DOE25'!G13</f>
        <v>14540.53</v>
      </c>
      <c r="E12" s="95">
        <f>'DOE25'!H13</f>
        <v>78896.73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24593.1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166226.16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5382913.29</v>
      </c>
      <c r="D18" s="41">
        <f>SUM(D8:D17)</f>
        <v>285370.68000000005</v>
      </c>
      <c r="E18" s="41">
        <f>SUM(E8:E17)</f>
        <v>581232.09</v>
      </c>
      <c r="F18" s="41">
        <f>SUM(F8:F17)</f>
        <v>0</v>
      </c>
      <c r="G18" s="41">
        <f>SUM(G8:G17)</f>
        <v>1390737.61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469611.57</v>
      </c>
      <c r="D21" s="95">
        <f>'DOE25'!G22</f>
        <v>0</v>
      </c>
      <c r="E21" s="95">
        <f>'DOE25'!H22</f>
        <v>76185.789999999994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839419.35</v>
      </c>
      <c r="D22" s="95">
        <f>'DOE25'!G23</f>
        <v>1112.03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187372.02</v>
      </c>
      <c r="D23" s="95">
        <f>'DOE25'!G24</f>
        <v>0</v>
      </c>
      <c r="E23" s="95">
        <f>'DOE25'!H24</f>
        <v>20.12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53459.39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5100</v>
      </c>
      <c r="D29" s="95">
        <f>'DOE25'!G30</f>
        <v>26888</v>
      </c>
      <c r="E29" s="95">
        <f>'DOE25'!H30</f>
        <v>14987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35794.559999999998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1590756.89</v>
      </c>
      <c r="D31" s="41">
        <f>SUM(D21:D30)</f>
        <v>28000.03</v>
      </c>
      <c r="E31" s="41">
        <f>SUM(E21:E30)</f>
        <v>91192.909999999989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257370.65</v>
      </c>
      <c r="E47" s="95">
        <f>'DOE25'!H48</f>
        <v>490039.18</v>
      </c>
      <c r="F47" s="95">
        <f>'DOE25'!I48</f>
        <v>0</v>
      </c>
      <c r="G47" s="95">
        <f>'DOE25'!J48</f>
        <v>1390737.61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590666.16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3201490.24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3792156.4000000004</v>
      </c>
      <c r="D50" s="41">
        <f>SUM(D34:D49)</f>
        <v>257370.65</v>
      </c>
      <c r="E50" s="41">
        <f>SUM(E34:E49)</f>
        <v>490039.18</v>
      </c>
      <c r="F50" s="41">
        <f>SUM(F34:F49)</f>
        <v>0</v>
      </c>
      <c r="G50" s="41">
        <f>SUM(G34:G49)</f>
        <v>1390737.61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5382913.29</v>
      </c>
      <c r="D51" s="41">
        <f>D50+D31</f>
        <v>285370.68</v>
      </c>
      <c r="E51" s="41">
        <f>E50+E31</f>
        <v>581232.09</v>
      </c>
      <c r="F51" s="41">
        <f>F50+F31</f>
        <v>0</v>
      </c>
      <c r="G51" s="41">
        <f>G50+G31</f>
        <v>1390737.61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33391058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1042846.47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731.71</v>
      </c>
      <c r="D59" s="95">
        <f>'DOE25'!G96</f>
        <v>259.17</v>
      </c>
      <c r="E59" s="95">
        <f>'DOE25'!H96</f>
        <v>0</v>
      </c>
      <c r="F59" s="95">
        <f>'DOE25'!I96</f>
        <v>0</v>
      </c>
      <c r="G59" s="95">
        <f>'DOE25'!J96</f>
        <v>4169.8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611452.32999999996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525324.81000000006</v>
      </c>
      <c r="D61" s="95">
        <f>SUM('DOE25'!G98:G110)</f>
        <v>62230.74</v>
      </c>
      <c r="E61" s="95">
        <f>SUM('DOE25'!H98:H110)</f>
        <v>1113143.3800000001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1568902.99</v>
      </c>
      <c r="D62" s="130">
        <f>SUM(D57:D61)</f>
        <v>673942.24</v>
      </c>
      <c r="E62" s="130">
        <f>SUM(E57:E61)</f>
        <v>1113143.3800000001</v>
      </c>
      <c r="F62" s="130">
        <f>SUM(F57:F61)</f>
        <v>0</v>
      </c>
      <c r="G62" s="130">
        <f>SUM(G57:G61)</f>
        <v>4169.8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34959960.990000002</v>
      </c>
      <c r="D63" s="22">
        <f>D56+D62</f>
        <v>673942.24</v>
      </c>
      <c r="E63" s="22">
        <f>E56+E62</f>
        <v>1113143.3800000001</v>
      </c>
      <c r="F63" s="22">
        <f>F56+F62</f>
        <v>0</v>
      </c>
      <c r="G63" s="22">
        <f>G56+G62</f>
        <v>4169.8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5587686.6200000001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5532676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18.559999999999999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11120381.180000002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1621916.11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535566.87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1098438.08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8615.39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3255921.06</v>
      </c>
      <c r="D78" s="130">
        <f>SUM(D72:D77)</f>
        <v>8615.39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14376302.240000002</v>
      </c>
      <c r="D81" s="130">
        <f>SUM(D79:D80)+D78+D70</f>
        <v>8615.39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4436.03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267419.38</v>
      </c>
      <c r="D88" s="95">
        <f>SUM('DOE25'!G153:G161)</f>
        <v>221790.91</v>
      </c>
      <c r="E88" s="95">
        <f>SUM('DOE25'!H153:H161)</f>
        <v>363119.12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271855.41000000003</v>
      </c>
      <c r="D91" s="131">
        <f>SUM(D85:D90)</f>
        <v>221790.91</v>
      </c>
      <c r="E91" s="131">
        <f>SUM(E85:E90)</f>
        <v>363119.12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49608118.640000001</v>
      </c>
      <c r="D104" s="86">
        <f>D63+D81+D91+D103</f>
        <v>904348.54</v>
      </c>
      <c r="E104" s="86">
        <f>E63+E81+E91+E103</f>
        <v>1476262.5</v>
      </c>
      <c r="F104" s="86">
        <f>F63+F81+F91+F103</f>
        <v>0</v>
      </c>
      <c r="G104" s="86">
        <f>G63+G81+G103</f>
        <v>4169.8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19660413.210000001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6187248.9199999999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2037281.2699999998</v>
      </c>
      <c r="D111" s="24" t="s">
        <v>289</v>
      </c>
      <c r="E111" s="95">
        <f>('DOE25'!L278)+('DOE25'!L297)+('DOE25'!L316)</f>
        <v>120277.09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999541.00999999989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105138.13</v>
      </c>
      <c r="D114" s="24" t="s">
        <v>289</v>
      </c>
      <c r="E114" s="95">
        <f>+ SUM('DOE25'!L333:L335)</f>
        <v>489579.37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28989622.540000003</v>
      </c>
      <c r="D115" s="86">
        <f>SUM(D109:D114)</f>
        <v>0</v>
      </c>
      <c r="E115" s="86">
        <f>SUM(E109:E114)</f>
        <v>609856.46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2977362.29</v>
      </c>
      <c r="D118" s="24" t="s">
        <v>289</v>
      </c>
      <c r="E118" s="95">
        <f>+('DOE25'!L281)+('DOE25'!L300)+('DOE25'!L319)</f>
        <v>844903.44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531139.80000000005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1562183.81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2360354.5999999996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5090580.91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1715940.33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998024.49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14237561.74</v>
      </c>
      <c r="D128" s="86">
        <f>SUM(D118:D127)</f>
        <v>998024.49</v>
      </c>
      <c r="E128" s="86">
        <f>SUM(E118:E127)</f>
        <v>844903.44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2541719.69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1957158.31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1169.54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3000.26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-4169.8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280000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4778878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48006062.280000001</v>
      </c>
      <c r="D145" s="86">
        <f>(D115+D128+D144)</f>
        <v>998024.49</v>
      </c>
      <c r="E145" s="86">
        <f>(E115+E128+E144)</f>
        <v>1454759.9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1/97</v>
      </c>
      <c r="C152" s="152" t="str">
        <f>'DOE25'!G491</f>
        <v>8/03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1/15/17</v>
      </c>
      <c r="C153" s="152" t="str">
        <f>'DOE25'!G492</f>
        <v>8/15/23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15600000</v>
      </c>
      <c r="C154" s="137">
        <f>'DOE25'!G493</f>
        <v>42695000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5.46</v>
      </c>
      <c r="C155" s="137">
        <f>'DOE25'!G494</f>
        <v>0.42857142857142855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1767600.99</v>
      </c>
      <c r="C156" s="137">
        <f>'DOE25'!G495</f>
        <v>18272133.219999999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20039734.209999997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482028.31</v>
      </c>
      <c r="C158" s="137">
        <f>'DOE25'!G497</f>
        <v>2059691.38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2541719.69</v>
      </c>
    </row>
    <row r="159" spans="1:9" x14ac:dyDescent="0.2">
      <c r="A159" s="22" t="s">
        <v>35</v>
      </c>
      <c r="B159" s="137">
        <f>'DOE25'!F498</f>
        <v>1719902.47</v>
      </c>
      <c r="C159" s="137">
        <f>'DOE25'!G498</f>
        <v>16212441.84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17932344.309999999</v>
      </c>
    </row>
    <row r="160" spans="1:9" x14ac:dyDescent="0.2">
      <c r="A160" s="22" t="s">
        <v>36</v>
      </c>
      <c r="B160" s="137">
        <f>'DOE25'!F499</f>
        <v>746620.21</v>
      </c>
      <c r="C160" s="137">
        <f>'DOE25'!G499</f>
        <v>15387255.16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16133875.370000001</v>
      </c>
    </row>
    <row r="161" spans="1:7" x14ac:dyDescent="0.2">
      <c r="A161" s="22" t="s">
        <v>37</v>
      </c>
      <c r="B161" s="137">
        <f>'DOE25'!F500</f>
        <v>2466522.6799999997</v>
      </c>
      <c r="C161" s="137">
        <f>'DOE25'!G500</f>
        <v>31599697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34066219.68</v>
      </c>
    </row>
    <row r="162" spans="1:7" x14ac:dyDescent="0.2">
      <c r="A162" s="22" t="s">
        <v>38</v>
      </c>
      <c r="B162" s="137">
        <f>'DOE25'!F501</f>
        <v>453248.47</v>
      </c>
      <c r="C162" s="137">
        <f>'DOE25'!G501</f>
        <v>1968160.43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2421408.9</v>
      </c>
    </row>
    <row r="163" spans="1:7" x14ac:dyDescent="0.2">
      <c r="A163" s="22" t="s">
        <v>39</v>
      </c>
      <c r="B163" s="137">
        <f>'DOE25'!F502</f>
        <v>1303875</v>
      </c>
      <c r="C163" s="137">
        <f>'DOE25'!G502</f>
        <v>1156617.57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2460492.5700000003</v>
      </c>
    </row>
    <row r="164" spans="1:7" x14ac:dyDescent="0.2">
      <c r="A164" s="22" t="s">
        <v>246</v>
      </c>
      <c r="B164" s="137">
        <f>'DOE25'!F503</f>
        <v>1757123.47</v>
      </c>
      <c r="C164" s="137">
        <f>'DOE25'!G503</f>
        <v>3124778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4881901.47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0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EXETER REGION COOPERATIVE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12263</v>
      </c>
    </row>
    <row r="6" spans="1:4" x14ac:dyDescent="0.2">
      <c r="B6" t="s">
        <v>62</v>
      </c>
      <c r="C6" s="179">
        <f>IF('DOE25'!H665+'DOE25'!H670=0,0,ROUND('DOE25'!H672,0))</f>
        <v>13466</v>
      </c>
    </row>
    <row r="7" spans="1:4" x14ac:dyDescent="0.2">
      <c r="B7" t="s">
        <v>705</v>
      </c>
      <c r="C7" s="179">
        <f>IF('DOE25'!I665+'DOE25'!I670=0,0,ROUND('DOE25'!I672,0))</f>
        <v>12947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19660413</v>
      </c>
      <c r="D10" s="182">
        <f>ROUND((C10/$C$28)*100,1)</f>
        <v>41.6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6187249</v>
      </c>
      <c r="D11" s="182">
        <f>ROUND((C11/$C$28)*100,1)</f>
        <v>13.1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2157558</v>
      </c>
      <c r="D12" s="182">
        <f>ROUND((C12/$C$28)*100,1)</f>
        <v>4.5999999999999996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999541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3822266</v>
      </c>
      <c r="D15" s="182">
        <f t="shared" ref="D15:D27" si="0">ROUND((C15/$C$28)*100,1)</f>
        <v>8.1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531140</v>
      </c>
      <c r="D16" s="182">
        <f t="shared" si="0"/>
        <v>1.1000000000000001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1562184</v>
      </c>
      <c r="D17" s="182">
        <f t="shared" si="0"/>
        <v>3.3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2360355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5090581</v>
      </c>
      <c r="D20" s="182">
        <f t="shared" si="0"/>
        <v>10.8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1715940</v>
      </c>
      <c r="D21" s="182">
        <f t="shared" si="0"/>
        <v>3.6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594718</v>
      </c>
      <c r="D24" s="182">
        <f t="shared" si="0"/>
        <v>1.3</v>
      </c>
    </row>
    <row r="25" spans="1:4" x14ac:dyDescent="0.2">
      <c r="A25">
        <v>5120</v>
      </c>
      <c r="B25" t="s">
        <v>720</v>
      </c>
      <c r="C25" s="179">
        <f>ROUND('DOE25'!L261+'DOE25'!L342,0)</f>
        <v>1957158</v>
      </c>
      <c r="D25" s="182">
        <f t="shared" si="0"/>
        <v>4.0999999999999996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280000</v>
      </c>
      <c r="D26" s="182">
        <f t="shared" si="0"/>
        <v>0.6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324340.93000000005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47243443.93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47243443.93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2541720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33391058</v>
      </c>
      <c r="D35" s="182">
        <f t="shared" ref="D35:D40" si="1">ROUND((C35/$C$41)*100,1)</f>
        <v>65.099999999999994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2686475.3400000036</v>
      </c>
      <c r="D36" s="182">
        <f t="shared" si="1"/>
        <v>5.2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11120363</v>
      </c>
      <c r="D37" s="182">
        <f t="shared" si="1"/>
        <v>21.7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3264555</v>
      </c>
      <c r="D38" s="182">
        <f t="shared" si="1"/>
        <v>6.4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856765</v>
      </c>
      <c r="D39" s="182">
        <f t="shared" si="1"/>
        <v>1.7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51319216.340000004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3" sqref="C13:M1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EXETER REGION COOPERATIVE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 t="s">
        <v>916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917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 t="s">
        <v>918</v>
      </c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 t="s">
        <v>919</v>
      </c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2014-09-02T19:14:22Z</cp:lastPrinted>
  <dcterms:created xsi:type="dcterms:W3CDTF">1997-12-04T19:04:30Z</dcterms:created>
  <dcterms:modified xsi:type="dcterms:W3CDTF">2014-12-10T17:09:15Z</dcterms:modified>
</cp:coreProperties>
</file>