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774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358" i="1" l="1"/>
  <c r="I358" i="1"/>
  <c r="G358" i="1"/>
  <c r="F358" i="1"/>
  <c r="D11" i="13"/>
  <c r="C20" i="12"/>
  <c r="C19" i="12"/>
  <c r="C10" i="12"/>
  <c r="C11" i="12"/>
  <c r="B10" i="12"/>
  <c r="F233" i="1"/>
  <c r="H255" i="1"/>
  <c r="H244" i="1"/>
  <c r="H543" i="1" l="1"/>
  <c r="H541" i="1"/>
  <c r="F543" i="1"/>
  <c r="F541" i="1"/>
  <c r="G526" i="1"/>
  <c r="G521" i="1"/>
  <c r="F523" i="1"/>
  <c r="G528" i="1"/>
  <c r="G523" i="1"/>
  <c r="G499" i="1"/>
  <c r="F472" i="1"/>
  <c r="G233" i="1"/>
  <c r="F110" i="1"/>
  <c r="K266" i="1"/>
  <c r="J179" i="1"/>
  <c r="J468" i="1"/>
  <c r="G440" i="1"/>
  <c r="F440" i="1"/>
  <c r="G389" i="1"/>
  <c r="H400" i="1"/>
  <c r="F24" i="1" l="1"/>
  <c r="H14" i="1"/>
  <c r="H48" i="1" l="1"/>
  <c r="H368" i="1"/>
  <c r="K263" i="1" l="1"/>
  <c r="K261" i="1"/>
  <c r="K260" i="1"/>
  <c r="J240" i="1"/>
  <c r="I240" i="1"/>
  <c r="H240" i="1"/>
  <c r="G240" i="1"/>
  <c r="F240" i="1"/>
  <c r="I239" i="1"/>
  <c r="H239" i="1"/>
  <c r="G239" i="1"/>
  <c r="F239" i="1"/>
  <c r="K238" i="1"/>
  <c r="J238" i="1"/>
  <c r="I238" i="1"/>
  <c r="H238" i="1"/>
  <c r="G238" i="1"/>
  <c r="F238" i="1"/>
  <c r="J204" i="1"/>
  <c r="I204" i="1"/>
  <c r="H204" i="1"/>
  <c r="G204" i="1"/>
  <c r="F204" i="1"/>
  <c r="J203" i="1"/>
  <c r="I203" i="1"/>
  <c r="H203" i="1"/>
  <c r="G203" i="1"/>
  <c r="F203" i="1"/>
  <c r="H202" i="1"/>
  <c r="J202" i="1"/>
  <c r="I202" i="1"/>
  <c r="G202" i="1"/>
  <c r="F202" i="1"/>
  <c r="G323" i="1" l="1"/>
  <c r="F323" i="1"/>
  <c r="H282" i="1"/>
  <c r="I276" i="1"/>
  <c r="K285" i="1"/>
  <c r="I282" i="1"/>
  <c r="G282" i="1"/>
  <c r="F282" i="1"/>
  <c r="H276" i="1"/>
  <c r="G276" i="1"/>
  <c r="F276" i="1"/>
  <c r="G360" i="1"/>
  <c r="J360" i="1"/>
  <c r="I360" i="1"/>
  <c r="F360" i="1"/>
  <c r="F57" i="1" l="1"/>
  <c r="F123" i="1"/>
  <c r="F96" i="1"/>
  <c r="F118" i="1"/>
  <c r="F29" i="1"/>
  <c r="F17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C123" i="2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C112" i="2"/>
  <c r="E112" i="2"/>
  <c r="C113" i="2"/>
  <c r="C114" i="2"/>
  <c r="E114" i="2"/>
  <c r="D115" i="2"/>
  <c r="F115" i="2"/>
  <c r="G115" i="2"/>
  <c r="E119" i="2"/>
  <c r="E121" i="2"/>
  <c r="C122" i="2"/>
  <c r="E123" i="2"/>
  <c r="E124" i="2"/>
  <c r="C125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639" i="1" s="1"/>
  <c r="H461" i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K545" i="1" s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3" i="1"/>
  <c r="G644" i="1"/>
  <c r="G650" i="1"/>
  <c r="G652" i="1"/>
  <c r="H652" i="1"/>
  <c r="G653" i="1"/>
  <c r="H653" i="1"/>
  <c r="G654" i="1"/>
  <c r="H654" i="1"/>
  <c r="H655" i="1"/>
  <c r="C26" i="10"/>
  <c r="L351" i="1"/>
  <c r="A31" i="12"/>
  <c r="D62" i="2"/>
  <c r="D63" i="2" s="1"/>
  <c r="D18" i="13"/>
  <c r="C18" i="13" s="1"/>
  <c r="D17" i="13"/>
  <c r="C17" i="13" s="1"/>
  <c r="C91" i="2"/>
  <c r="F78" i="2"/>
  <c r="F81" i="2" s="1"/>
  <c r="D31" i="2"/>
  <c r="D50" i="2"/>
  <c r="F18" i="2"/>
  <c r="E103" i="2"/>
  <c r="D91" i="2"/>
  <c r="E62" i="2"/>
  <c r="E63" i="2" s="1"/>
  <c r="E31" i="2"/>
  <c r="G62" i="2"/>
  <c r="D19" i="13"/>
  <c r="C19" i="13" s="1"/>
  <c r="E78" i="2"/>
  <c r="E81" i="2" s="1"/>
  <c r="L427" i="1"/>
  <c r="H112" i="1"/>
  <c r="J641" i="1"/>
  <c r="J571" i="1"/>
  <c r="K571" i="1"/>
  <c r="L433" i="1"/>
  <c r="L419" i="1"/>
  <c r="I169" i="1"/>
  <c r="I476" i="1"/>
  <c r="H625" i="1" s="1"/>
  <c r="J625" i="1" s="1"/>
  <c r="G476" i="1"/>
  <c r="H623" i="1" s="1"/>
  <c r="J623" i="1" s="1"/>
  <c r="F169" i="1"/>
  <c r="J140" i="1"/>
  <c r="F571" i="1"/>
  <c r="I552" i="1"/>
  <c r="K550" i="1"/>
  <c r="G22" i="2"/>
  <c r="H140" i="1"/>
  <c r="H571" i="1"/>
  <c r="L560" i="1"/>
  <c r="H192" i="1"/>
  <c r="C35" i="10"/>
  <c r="L309" i="1"/>
  <c r="E16" i="13"/>
  <c r="L570" i="1"/>
  <c r="I571" i="1"/>
  <c r="G36" i="2"/>
  <c r="L565" i="1"/>
  <c r="C16" i="13"/>
  <c r="L362" i="1" l="1"/>
  <c r="C27" i="10" s="1"/>
  <c r="H661" i="1"/>
  <c r="A40" i="12"/>
  <c r="A13" i="12"/>
  <c r="L614" i="1"/>
  <c r="C29" i="10"/>
  <c r="L382" i="1"/>
  <c r="G636" i="1" s="1"/>
  <c r="J636" i="1" s="1"/>
  <c r="C21" i="10"/>
  <c r="K598" i="1"/>
  <c r="G647" i="1" s="1"/>
  <c r="J545" i="1"/>
  <c r="J552" i="1"/>
  <c r="L544" i="1"/>
  <c r="K549" i="1"/>
  <c r="H545" i="1"/>
  <c r="K551" i="1"/>
  <c r="F552" i="1"/>
  <c r="L524" i="1"/>
  <c r="G161" i="2"/>
  <c r="F476" i="1"/>
  <c r="H622" i="1" s="1"/>
  <c r="J622" i="1" s="1"/>
  <c r="J640" i="1"/>
  <c r="I460" i="1"/>
  <c r="I461" i="1" s="1"/>
  <c r="H642" i="1" s="1"/>
  <c r="J642" i="1" s="1"/>
  <c r="J639" i="1"/>
  <c r="I446" i="1"/>
  <c r="G642" i="1" s="1"/>
  <c r="H408" i="1"/>
  <c r="H644" i="1" s="1"/>
  <c r="J644" i="1"/>
  <c r="J655" i="1"/>
  <c r="H52" i="1"/>
  <c r="H619" i="1" s="1"/>
  <c r="J619" i="1" s="1"/>
  <c r="G645" i="1"/>
  <c r="J645" i="1" s="1"/>
  <c r="J617" i="1"/>
  <c r="G164" i="2"/>
  <c r="K503" i="1"/>
  <c r="K500" i="1"/>
  <c r="G156" i="2"/>
  <c r="H25" i="13"/>
  <c r="H33" i="13" s="1"/>
  <c r="C132" i="2"/>
  <c r="C25" i="13"/>
  <c r="C32" i="10"/>
  <c r="C131" i="2"/>
  <c r="F22" i="13"/>
  <c r="C22" i="13" s="1"/>
  <c r="C130" i="2"/>
  <c r="G651" i="1"/>
  <c r="J651" i="1" s="1"/>
  <c r="C124" i="2"/>
  <c r="C128" i="2" s="1"/>
  <c r="C19" i="10"/>
  <c r="C18" i="10"/>
  <c r="E8" i="13"/>
  <c r="C8" i="13" s="1"/>
  <c r="D7" i="13"/>
  <c r="C7" i="13" s="1"/>
  <c r="C16" i="10"/>
  <c r="C15" i="10"/>
  <c r="C118" i="2"/>
  <c r="C12" i="10"/>
  <c r="C110" i="2"/>
  <c r="L247" i="1"/>
  <c r="K257" i="1"/>
  <c r="K271" i="1" s="1"/>
  <c r="J257" i="1"/>
  <c r="J271" i="1" s="1"/>
  <c r="I257" i="1"/>
  <c r="I271" i="1" s="1"/>
  <c r="H257" i="1"/>
  <c r="H271" i="1" s="1"/>
  <c r="G257" i="1"/>
  <c r="G271" i="1" s="1"/>
  <c r="C109" i="2"/>
  <c r="F257" i="1"/>
  <c r="F271" i="1" s="1"/>
  <c r="D15" i="13"/>
  <c r="C15" i="13" s="1"/>
  <c r="G649" i="1"/>
  <c r="J649" i="1" s="1"/>
  <c r="F662" i="1"/>
  <c r="I662" i="1" s="1"/>
  <c r="H647" i="1"/>
  <c r="D14" i="13"/>
  <c r="C14" i="13" s="1"/>
  <c r="C20" i="10"/>
  <c r="E13" i="13"/>
  <c r="C13" i="13" s="1"/>
  <c r="D12" i="13"/>
  <c r="C12" i="13" s="1"/>
  <c r="C17" i="10"/>
  <c r="D6" i="13"/>
  <c r="C6" i="13" s="1"/>
  <c r="L211" i="1"/>
  <c r="C11" i="10"/>
  <c r="D5" i="13"/>
  <c r="C5" i="13" s="1"/>
  <c r="E122" i="2"/>
  <c r="L328" i="1"/>
  <c r="E111" i="2"/>
  <c r="C10" i="10"/>
  <c r="G338" i="1"/>
  <c r="G352" i="1" s="1"/>
  <c r="F338" i="1"/>
  <c r="F352" i="1" s="1"/>
  <c r="H338" i="1"/>
  <c r="H352" i="1" s="1"/>
  <c r="E118" i="2"/>
  <c r="E128" i="2" s="1"/>
  <c r="J338" i="1"/>
  <c r="J352" i="1" s="1"/>
  <c r="E109" i="2"/>
  <c r="L290" i="1"/>
  <c r="I369" i="1"/>
  <c r="H634" i="1" s="1"/>
  <c r="J634" i="1" s="1"/>
  <c r="D127" i="2"/>
  <c r="D128" i="2" s="1"/>
  <c r="D145" i="2" s="1"/>
  <c r="G661" i="1"/>
  <c r="D29" i="13"/>
  <c r="C29" i="13" s="1"/>
  <c r="F661" i="1"/>
  <c r="C70" i="2"/>
  <c r="C81" i="2" s="1"/>
  <c r="F112" i="1"/>
  <c r="C36" i="10" s="1"/>
  <c r="C62" i="2"/>
  <c r="C63" i="2" s="1"/>
  <c r="G624" i="1"/>
  <c r="J624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G635" i="1" l="1"/>
  <c r="J635" i="1" s="1"/>
  <c r="F33" i="13"/>
  <c r="J647" i="1"/>
  <c r="L545" i="1"/>
  <c r="K552" i="1"/>
  <c r="H646" i="1"/>
  <c r="J646" i="1" s="1"/>
  <c r="G104" i="2"/>
  <c r="C144" i="2"/>
  <c r="H648" i="1"/>
  <c r="J648" i="1" s="1"/>
  <c r="E33" i="13"/>
  <c r="D35" i="13" s="1"/>
  <c r="H660" i="1"/>
  <c r="H664" i="1" s="1"/>
  <c r="H672" i="1" s="1"/>
  <c r="C6" i="10" s="1"/>
  <c r="L257" i="1"/>
  <c r="L271" i="1" s="1"/>
  <c r="G632" i="1" s="1"/>
  <c r="J632" i="1" s="1"/>
  <c r="C115" i="2"/>
  <c r="F660" i="1"/>
  <c r="E115" i="2"/>
  <c r="E145" i="2" s="1"/>
  <c r="C28" i="10"/>
  <c r="D19" i="10" s="1"/>
  <c r="D31" i="13"/>
  <c r="C31" i="13" s="1"/>
  <c r="L338" i="1"/>
  <c r="L352" i="1" s="1"/>
  <c r="G633" i="1" s="1"/>
  <c r="J633" i="1" s="1"/>
  <c r="G664" i="1"/>
  <c r="G672" i="1" s="1"/>
  <c r="C5" i="10" s="1"/>
  <c r="I661" i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I660" i="1"/>
  <c r="I664" i="1" s="1"/>
  <c r="I672" i="1" s="1"/>
  <c r="C7" i="10" s="1"/>
  <c r="F664" i="1"/>
  <c r="F667" i="1" s="1"/>
  <c r="D17" i="10"/>
  <c r="D16" i="10"/>
  <c r="D13" i="10"/>
  <c r="D27" i="10"/>
  <c r="D26" i="10"/>
  <c r="D21" i="10"/>
  <c r="D24" i="10"/>
  <c r="D10" i="10"/>
  <c r="D11" i="10"/>
  <c r="D12" i="10"/>
  <c r="D23" i="10"/>
  <c r="D18" i="10"/>
  <c r="C30" i="10"/>
  <c r="D22" i="10"/>
  <c r="D20" i="10"/>
  <c r="D15" i="10"/>
  <c r="D25" i="10"/>
  <c r="D33" i="13"/>
  <c r="D36" i="13" s="1"/>
  <c r="G667" i="1"/>
  <c r="H656" i="1"/>
  <c r="C41" i="10"/>
  <c r="D38" i="10" s="1"/>
  <c r="F672" i="1" l="1"/>
  <c r="C4" i="10" s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<sst xmlns="http://schemas.openxmlformats.org/spreadsheetml/2006/main" count="3962" uniqueCount="920">
  <si>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</si>
  <si>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</si>
  <si>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</si>
  <si>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</si>
  <si>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</si>
  <si>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</si>
  <si>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</si>
  <si>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</si>
  <si>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</si>
  <si>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</si>
  <si>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</si>
  <si>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</si>
  <si>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</si>
  <si>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</si>
  <si>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</si>
  <si>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</si>
  <si>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</si>
  <si>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</si>
  <si>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</si>
  <si>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</si>
  <si>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</si>
  <si>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</si>
  <si>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</si>
  <si>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</si>
  <si>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</si>
  <si>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</si>
  <si>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</si>
  <si>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</si>
  <si>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</si>
  <si>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</si>
  <si>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</si>
  <si>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</si>
  <si>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</si>
  <si>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</si>
  <si>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</si>
  <si>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</si>
  <si>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</si>
  <si>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</si>
  <si>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</si>
  <si>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</si>
  <si>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</si>
  <si>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</si>
  <si>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</si>
  <si>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</si>
  <si>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</si>
  <si>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</si>
  <si>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</si>
  <si>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</si>
  <si>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</si>
  <si>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</si>
  <si>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</si>
  <si>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</si>
  <si>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</si>
  <si>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</si>
  <si>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</si>
  <si>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</si>
  <si>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</si>
  <si>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</si>
  <si>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</si>
  <si>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</si>
  <si>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</si>
  <si>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</si>
  <si>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</si>
  <si>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</si>
  <si>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</si>
  <si>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</si>
  <si>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</si>
  <si>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</si>
  <si>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</si>
  <si>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</si>
  <si>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</si>
  <si>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</si>
  <si>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</si>
  <si>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</si>
  <si>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</si>
  <si>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</si>
  <si>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</si>
  <si>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</si>
  <si>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</si>
  <si>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</si>
  <si>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</si>
  <si>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</si>
  <si>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</si>
  <si>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</si>
  <si>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</si>
  <si>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</si>
  <si>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</si>
  <si>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</si>
  <si>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</si>
  <si>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</si>
  <si>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</si>
  <si>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</si>
  <si>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</si>
  <si>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</si>
  <si>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</si>
  <si>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</si>
  <si>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</si>
  <si>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</si>
  <si>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</si>
  <si>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</si>
  <si>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</si>
  <si>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</si>
  <si>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</si>
  <si>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</si>
  <si>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</si>
  <si>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</si>
  <si>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</si>
  <si>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</si>
  <si>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</si>
  <si>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</si>
  <si>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</si>
  <si>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</si>
  <si>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</si>
  <si>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</si>
  <si>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</si>
  <si>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</si>
  <si>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</si>
  <si>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</si>
  <si>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</si>
  <si>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</si>
  <si>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</si>
  <si>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</si>
  <si>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</si>
  <si>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</si>
  <si>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</si>
  <si>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</si>
  <si>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</si>
  <si>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</si>
  <si>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</si>
  <si>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</si>
  <si>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</si>
  <si>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</si>
  <si>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</si>
  <si>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</si>
  <si>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</si>
  <si>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</si>
  <si>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</si>
  <si>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</si>
  <si>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</si>
  <si>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</si>
  <si>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</si>
  <si>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</si>
  <si>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</si>
  <si>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</si>
  <si>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</si>
  <si>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</si>
  <si>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</si>
  <si>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</si>
  <si>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</si>
  <si>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</si>
  <si>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</si>
  <si>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</si>
  <si>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</si>
  <si>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</si>
  <si>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</si>
  <si>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</si>
  <si>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</si>
  <si>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</si>
  <si>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</si>
  <si>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</si>
  <si>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</si>
  <si>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</si>
  <si>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</si>
  <si>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</si>
  <si>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</si>
  <si>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</si>
  <si>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</si>
  <si>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</si>
  <si>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</si>
  <si>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</si>
  <si>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</si>
  <si>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</si>
  <si>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</si>
  <si>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</si>
  <si>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</si>
  <si>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</si>
  <si>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</si>
  <si>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</si>
  <si>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</si>
  <si>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</si>
  <si>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</si>
  <si>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</si>
  <si>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</si>
  <si>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</si>
  <si>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</si>
  <si>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</si>
  <si>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</si>
  <si>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</si>
  <si>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</si>
  <si>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</si>
  <si>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</si>
  <si>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</si>
  <si>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</si>
  <si>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</si>
  <si>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</si>
  <si>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</si>
  <si>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</si>
  <si>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</si>
  <si>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</si>
  <si>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</si>
  <si>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</si>
  <si>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</si>
  <si>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</si>
  <si>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</si>
  <si>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</si>
  <si>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</si>
  <si>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</si>
  <si>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</si>
  <si>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</si>
  <si>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</si>
  <si>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</si>
  <si>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</si>
  <si>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</si>
  <si>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</si>
  <si>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</si>
  <si>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</si>
  <si>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</si>
  <si>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</si>
  <si>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</si>
  <si>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</si>
  <si>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</si>
  <si>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</si>
  <si>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</si>
  <si>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</si>
  <si>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</si>
  <si>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</si>
  <si>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</si>
  <si>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</si>
  <si>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</si>
  <si>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</si>
  <si>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</si>
  <si>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</si>
  <si>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</si>
  <si>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</si>
  <si>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</si>
  <si>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</si>
  <si>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</si>
  <si>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</si>
  <si>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</si>
  <si>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</si>
  <si>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</si>
  <si>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</si>
  <si>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</si>
  <si>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</si>
  <si>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</si>
  <si>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</si>
  <si>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</si>
  <si>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</si>
  <si>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</si>
  <si>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</si>
  <si>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</si>
  <si>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</si>
  <si>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</si>
  <si>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</si>
  <si>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</si>
  <si>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</si>
  <si>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</si>
  <si>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</si>
  <si>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</si>
  <si>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</si>
  <si>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</si>
  <si>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</si>
  <si>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</si>
  <si>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</si>
  <si>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</si>
  <si>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</si>
  <si>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</si>
  <si>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</si>
  <si>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</si>
  <si>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</si>
  <si>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</si>
  <si>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</si>
  <si>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</si>
  <si>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</si>
  <si>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</si>
  <si>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</si>
  <si>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</si>
  <si>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</si>
  <si>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</si>
  <si>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</si>
  <si>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</si>
  <si>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</si>
  <si>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</si>
  <si>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</si>
  <si>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</si>
  <si>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</si>
  <si>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</si>
  <si>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</si>
  <si>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</si>
  <si>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</si>
  <si>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</si>
  <si>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</si>
  <si>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</si>
  <si>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</si>
  <si>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</si>
  <si>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</si>
  <si>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</si>
  <si>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</si>
  <si>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</si>
  <si>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</si>
  <si>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</si>
  <si>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</si>
  <si>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</si>
  <si>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</si>
  <si>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</si>
  <si>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</si>
  <si>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</si>
  <si>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</si>
  <si>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</si>
  <si>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</si>
  <si>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</si>
  <si>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</si>
  <si>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</si>
  <si>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</si>
  <si>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</si>
  <si>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</si>
  <si>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</si>
  <si>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</si>
  <si>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</si>
  <si>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</si>
  <si>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</si>
  <si>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</si>
  <si>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</si>
  <si>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</si>
  <si>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</si>
  <si>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</si>
  <si>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</si>
  <si>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</si>
  <si>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</si>
  <si>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</si>
  <si>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</si>
  <si>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</si>
  <si>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</si>
  <si>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</si>
  <si>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</si>
  <si>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</si>
  <si>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</si>
  <si>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</si>
  <si>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</si>
  <si>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</si>
  <si>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</si>
  <si>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</si>
  <si>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</si>
  <si>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</si>
  <si>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</si>
  <si>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</si>
  <si>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</si>
  <si>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</si>
  <si>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</si>
  <si>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</si>
  <si>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</si>
  <si>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</si>
  <si>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</si>
  <si>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</si>
  <si>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</si>
  <si>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</si>
  <si>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</si>
  <si>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</si>
  <si>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</si>
  <si>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</si>
  <si>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</si>
  <si>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</si>
  <si>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</si>
  <si>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</si>
  <si>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</si>
  <si>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</si>
  <si>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</si>
  <si>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</si>
  <si>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</si>
  <si>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</si>
  <si>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</si>
  <si>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</si>
  <si>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</si>
  <si>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</si>
  <si>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</si>
  <si>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</si>
  <si>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</si>
  <si>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</si>
  <si>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</si>
  <si>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</si>
  <si>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</si>
  <si>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</si>
  <si>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</si>
  <si>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</si>
  <si>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</si>
  <si>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</si>
  <si>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</si>
  <si>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</si>
  <si>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</si>
  <si>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</si>
  <si>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</si>
  <si>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</si>
  <si>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</si>
  <si>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</si>
  <si>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</si>
  <si>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</si>
  <si>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</si>
  <si>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</si>
  <si>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</si>
  <si>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</si>
  <si>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</si>
  <si>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</si>
  <si>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</si>
  <si>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</si>
  <si>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</si>
  <si>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</si>
  <si>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</si>
  <si>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</si>
  <si>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</si>
  <si>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</si>
  <si>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</si>
  <si>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</si>
  <si>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</si>
  <si>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</si>
  <si>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</si>
  <si>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</si>
  <si>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</si>
  <si>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</si>
  <si>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</si>
  <si>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</si>
  <si>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</si>
  <si>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</si>
  <si>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</si>
  <si>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</si>
  <si>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</si>
  <si>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</si>
  <si>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</si>
  <si>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</si>
  <si>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</si>
  <si>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</si>
  <si>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</si>
  <si>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</si>
  <si>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</si>
  <si>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</si>
  <si>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</si>
  <si>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</si>
  <si>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</si>
  <si>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</si>
  <si>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</si>
  <si>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</si>
  <si>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</si>
  <si>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</si>
  <si>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</si>
  <si>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</si>
  <si>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</si>
  <si>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</si>
  <si>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</si>
  <si>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</si>
  <si>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</si>
  <si>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</si>
  <si>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</si>
  <si>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</si>
  <si>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</si>
  <si>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</si>
  <si>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</si>
  <si>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</si>
  <si>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</si>
  <si>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</si>
  <si>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</si>
  <si>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</si>
  <si>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</si>
  <si>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</si>
  <si>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</si>
  <si>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</si>
  <si>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</si>
  <si>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</si>
  <si>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</si>
  <si>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</si>
  <si>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</si>
  <si>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</si>
  <si>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</si>
  <si>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</si>
  <si>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</si>
  <si>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</si>
  <si>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</si>
  <si>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</si>
  <si>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</si>
  <si>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</si>
  <si>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</si>
  <si>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</si>
  <si>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</si>
  <si>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</si>
  <si>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</si>
  <si>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</si>
  <si>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</si>
  <si>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</si>
  <si>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</si>
  <si>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</si>
  <si>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</si>
  <si>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</si>
  <si>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</si>
  <si>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</si>
  <si>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</si>
  <si>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</si>
  <si>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</si>
  <si>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</si>
  <si>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</si>
  <si>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</si>
  <si>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</si>
  <si>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</si>
  <si>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</si>
  <si>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</si>
  <si>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</si>
  <si>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</si>
  <si>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</si>
  <si>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</si>
  <si>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</si>
  <si>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</si>
  <si>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</si>
  <si>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</si>
  <si>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</si>
  <si>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</si>
  <si>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</si>
  <si>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</si>
  <si>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</si>
  <si>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</si>
  <si>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</si>
  <si>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</si>
  <si>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</si>
  <si>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</si>
  <si>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</si>
  <si>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</si>
  <si>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</si>
  <si>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</si>
  <si>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</si>
  <si>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</si>
  <si>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</si>
  <si>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</si>
  <si>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</si>
  <si>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</si>
  <si>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</si>
  <si>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</si>
  <si>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</si>
  <si>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</si>
  <si>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</si>
  <si>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</si>
  <si>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</si>
  <si>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</si>
  <si>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</si>
  <si>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</si>
  <si>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</si>
  <si>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</si>
  <si>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</si>
  <si>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</si>
  <si>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</si>
  <si>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</si>
  <si>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</si>
  <si>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</si>
  <si>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</si>
  <si>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</si>
  <si>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</si>
  <si>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</si>
  <si>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</si>
  <si>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</si>
  <si>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</si>
  <si>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</si>
  <si>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</si>
  <si>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</si>
  <si>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</si>
  <si>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</si>
  <si>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</si>
  <si>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</si>
  <si>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</si>
  <si>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</si>
  <si>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</si>
  <si>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</si>
  <si>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</si>
  <si>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</si>
  <si>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</si>
  <si>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</si>
  <si>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</si>
  <si>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</si>
  <si>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</si>
  <si>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</si>
  <si>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</si>
  <si>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</si>
  <si>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</si>
  <si>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</si>
  <si>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</si>
  <si>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</si>
  <si>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</si>
  <si>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</si>
  <si>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</si>
  <si>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</si>
  <si>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</si>
  <si>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</si>
  <si>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</si>
  <si>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</si>
  <si>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</si>
  <si>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</si>
  <si>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</si>
  <si>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</si>
  <si>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</si>
  <si>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</si>
  <si>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</si>
  <si>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</si>
  <si>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</si>
  <si>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</si>
  <si>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</si>
  <si>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</si>
  <si>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</si>
  <si>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</si>
  <si>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</si>
  <si>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</si>
  <si>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</si>
  <si>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</si>
  <si>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</si>
  <si>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</si>
  <si>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</si>
  <si>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</si>
  <si>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</si>
  <si>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</si>
  <si>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</si>
  <si>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</si>
  <si>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</si>
  <si>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</si>
  <si>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</si>
  <si>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</si>
  <si>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</si>
  <si>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</si>
  <si>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</si>
  <si>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</si>
  <si>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</si>
  <si>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</si>
  <si>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</si>
  <si>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</si>
  <si>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</si>
  <si>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</si>
  <si>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</si>
  <si>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</si>
  <si>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</si>
  <si>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</si>
  <si>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</si>
  <si>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</si>
  <si>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</si>
  <si>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</si>
  <si>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</si>
  <si>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</si>
  <si>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</si>
  <si>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</si>
  <si>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</si>
  <si>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</si>
  <si>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</si>
  <si>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</si>
  <si>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</si>
  <si>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</si>
  <si>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</si>
  <si>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</si>
  <si>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</si>
  <si>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</si>
  <si>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</si>
  <si>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</si>
  <si>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</si>
  <si>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</si>
  <si>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</si>
  <si>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</si>
  <si>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</si>
  <si>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</si>
  <si>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</si>
  <si>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</si>
  <si>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</si>
  <si>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</si>
  <si>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</si>
  <si>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</si>
  <si>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</si>
  <si>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</si>
  <si>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</si>
  <si>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</si>
  <si>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</si>
  <si>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</si>
  <si>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</si>
  <si>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</si>
  <si>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</si>
  <si>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</si>
  <si>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</si>
  <si>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</si>
  <si>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</si>
  <si>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</si>
  <si>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</si>
  <si>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</si>
  <si>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</si>
  <si>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</si>
  <si>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</si>
  <si>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</si>
  <si>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</si>
  <si>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</si>
  <si>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</si>
  <si>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</si>
  <si>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</si>
  <si>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</si>
  <si>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</si>
  <si>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</si>
  <si>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</si>
  <si>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</si>
  <si>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</si>
  <si>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</si>
  <si>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</si>
  <si>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</si>
  <si>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</si>
  <si>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</si>
  <si>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</si>
  <si>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</si>
  <si>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</si>
  <si>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</si>
  <si>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</si>
  <si>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</si>
  <si>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</si>
  <si>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</si>
  <si>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</si>
  <si>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</si>
  <si>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</si>
  <si>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</si>
  <si>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</si>
  <si>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</si>
  <si>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</si>
  <si>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</si>
  <si>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</si>
  <si>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</si>
  <si>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</si>
  <si>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</si>
  <si>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</si>
  <si>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</si>
  <si>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</si>
  <si>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</si>
  <si>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</si>
  <si>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</si>
  <si>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</si>
  <si>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</si>
  <si>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</si>
  <si>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</si>
  <si>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</si>
  <si>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</si>
  <si>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</si>
  <si>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</si>
  <si>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</si>
  <si>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</si>
  <si>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</si>
  <si>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</si>
  <si>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</si>
  <si>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</si>
  <si>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</si>
  <si>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</si>
  <si>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</si>
  <si>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</si>
  <si>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</si>
  <si>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</si>
  <si>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</si>
  <si>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</si>
  <si>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</si>
  <si>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</si>
  <si>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</si>
  <si>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</si>
  <si>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</si>
  <si>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</si>
  <si>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</si>
  <si>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</si>
  <si>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</si>
  <si>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</si>
  <si>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</si>
  <si>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</si>
  <si>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</si>
  <si>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</si>
  <si>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</si>
  <si>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</si>
  <si>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</si>
  <si>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</si>
  <si>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</si>
  <si>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</si>
  <si>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</si>
  <si>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</si>
  <si>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</si>
  <si>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</si>
  <si>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</si>
  <si>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</si>
  <si>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</si>
  <si>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</si>
  <si>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</si>
  <si>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</si>
  <si>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</si>
  <si>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</si>
  <si>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</si>
  <si>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</si>
  <si>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</si>
  <si>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</si>
  <si>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</si>
  <si>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</si>
  <si>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</si>
  <si>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</si>
  <si>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</si>
  <si>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</si>
  <si>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</si>
  <si>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</si>
  <si>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</si>
  <si>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</si>
  <si>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</si>
  <si>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</si>
  <si>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</si>
  <si>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</si>
  <si>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</si>
  <si>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</si>
  <si>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</si>
  <si>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</si>
  <si>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</si>
  <si>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</si>
  <si>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</si>
  <si>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</si>
  <si>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</si>
  <si>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</si>
  <si>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</si>
  <si>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</si>
  <si>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</si>
  <si>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</si>
  <si>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</si>
  <si>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</si>
  <si>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</si>
  <si>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</si>
  <si>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</si>
  <si>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</si>
  <si>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</si>
  <si>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</si>
  <si>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</si>
  <si>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</si>
  <si>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</si>
  <si>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</si>
  <si>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</si>
  <si>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</si>
  <si>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</si>
  <si>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</si>
  <si>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</si>
  <si>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</si>
  <si>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</si>
  <si>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</si>
  <si>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</si>
  <si>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</si>
  <si>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</si>
  <si>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</si>
  <si>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</si>
  <si>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</si>
  <si>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</si>
  <si>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</si>
  <si>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</si>
  <si>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</si>
  <si>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</si>
  <si>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</si>
  <si>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</si>
  <si>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</si>
  <si>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</si>
  <si>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</si>
  <si>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</si>
  <si>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</si>
  <si>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</si>
  <si>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</si>
  <si>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</si>
  <si>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</si>
  <si>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</si>
  <si>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</si>
  <si>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</si>
  <si>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</si>
  <si>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</si>
  <si>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</si>
  <si>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</si>
  <si>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</si>
  <si>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</si>
  <si>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</si>
  <si>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</si>
  <si>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</si>
  <si>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</si>
  <si>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</si>
  <si>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</si>
  <si>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</si>
  <si>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</si>
  <si>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</si>
  <si>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</si>
  <si>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</si>
  <si>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</si>
  <si>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</si>
  <si>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</si>
  <si>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</si>
  <si>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</si>
  <si>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</si>
  <si>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</si>
  <si>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</si>
  <si>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</si>
  <si>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</si>
  <si>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</si>
  <si>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</si>
  <si>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</si>
  <si>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</si>
  <si>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</si>
  <si>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</si>
  <si>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</si>
  <si>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</si>
  <si>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</si>
  <si>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</si>
  <si>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</si>
  <si>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</si>
  <si>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</si>
  <si>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</si>
  <si>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</si>
  <si>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</si>
  <si>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</si>
  <si>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</si>
  <si>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</si>
  <si>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</si>
  <si>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</si>
  <si>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</si>
  <si>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</si>
  <si>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</si>
  <si>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</si>
  <si>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</si>
  <si>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</si>
  <si>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Fall Mtn Regional School District-SAU 60</t>
  </si>
  <si>
    <t>08/05</t>
  </si>
  <si>
    <t>08/24</t>
  </si>
  <si>
    <t>09/10</t>
  </si>
  <si>
    <t>09/15</t>
  </si>
  <si>
    <t>carryforward receivable from GF on local grant</t>
  </si>
  <si>
    <t>fees for agency</t>
  </si>
  <si>
    <t>auditor adjustment prior year</t>
  </si>
  <si>
    <t>Other Income includes LGC's Settlement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</si>
</sst>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911</v>
      </c>
      <c r="B2" s="21">
        <v>174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1758581.38+1750</f>
        <v>1760331.38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2650566.04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306191.17</v>
      </c>
      <c r="G12" s="18">
        <v>-64921.83</v>
      </c>
      <c r="H12" s="18">
        <v>-241269.34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556627.74</v>
      </c>
      <c r="G13" s="18">
        <v>64802.33</v>
      </c>
      <c r="H13" s="18">
        <v>277150.69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15288.47</v>
      </c>
      <c r="G14" s="18">
        <v>119.5</v>
      </c>
      <c r="H14" s="18">
        <f>28864.14+31.51</f>
        <v>28895.649999999998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99141.1+260571</f>
        <v>359712.1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2998150.8600000003</v>
      </c>
      <c r="G19" s="41">
        <f>SUM(G9:G18)</f>
        <v>0</v>
      </c>
      <c r="H19" s="41">
        <f>SUM(H9:H18)</f>
        <v>64777</v>
      </c>
      <c r="I19" s="41">
        <f>SUM(I9:I18)</f>
        <v>0</v>
      </c>
      <c r="J19" s="41">
        <f>SUM(J9:J18)</f>
        <v>2650566.04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405309.22+0.01</f>
        <v>405309.23</v>
      </c>
      <c r="G24" s="18"/>
      <c r="H24" s="18">
        <v>2483.0700000000002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1825826.86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3464.85+35.27</f>
        <v>3500.12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2234636.21</v>
      </c>
      <c r="G32" s="41">
        <f>SUM(G22:G31)</f>
        <v>0</v>
      </c>
      <c r="H32" s="41">
        <f>SUM(H22:H31)</f>
        <v>2483.0700000000002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50643.4+11650.53</f>
        <v>62293.93</v>
      </c>
      <c r="I48" s="18"/>
      <c r="J48" s="13">
        <f>SUM(I459)</f>
        <v>2650566.04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263514.65000000002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763514.65</v>
      </c>
      <c r="G51" s="41">
        <f>SUM(G35:G50)</f>
        <v>0</v>
      </c>
      <c r="H51" s="41">
        <f>SUM(H35:H50)</f>
        <v>62293.93</v>
      </c>
      <c r="I51" s="41">
        <f>SUM(I35:I50)</f>
        <v>0</v>
      </c>
      <c r="J51" s="41">
        <f>SUM(J35:J50)</f>
        <v>2650566.04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2998150.86</v>
      </c>
      <c r="G52" s="41">
        <f>G51+G32</f>
        <v>0</v>
      </c>
      <c r="H52" s="41">
        <f>H51+H32</f>
        <v>64777</v>
      </c>
      <c r="I52" s="41">
        <f>I51+I32</f>
        <v>0</v>
      </c>
      <c r="J52" s="41">
        <f>J51+J32</f>
        <v>2650566.04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878721+2359832+825231+5011983+4576113-0.8</f>
        <v>13651879.199999999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13651879.199999999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204082.47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204082.47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20000+421.39</f>
        <v>20421.39</v>
      </c>
      <c r="G96" s="18"/>
      <c r="H96" s="18"/>
      <c r="I96" s="18"/>
      <c r="J96" s="18">
        <v>10385.209999999999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270819.01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16770.580000000002</v>
      </c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98336.27-0.37</f>
        <v>98335.900000000009</v>
      </c>
      <c r="G110" s="18"/>
      <c r="H110" s="18">
        <v>14274.42</v>
      </c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118757.29000000001</v>
      </c>
      <c r="G111" s="41">
        <f>SUM(G96:G110)</f>
        <v>270819.01</v>
      </c>
      <c r="H111" s="41">
        <f>SUM(H96:H110)</f>
        <v>31045</v>
      </c>
      <c r="I111" s="41">
        <f>SUM(I96:I110)</f>
        <v>0</v>
      </c>
      <c r="J111" s="41">
        <f>SUM(J96:J110)</f>
        <v>10385.209999999999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13974718.959999999</v>
      </c>
      <c r="G112" s="41">
        <f>G60+G111</f>
        <v>270819.01</v>
      </c>
      <c r="H112" s="41">
        <f>H60+H79+H94+H111</f>
        <v>31045</v>
      </c>
      <c r="I112" s="41">
        <f>I60+I111</f>
        <v>0</v>
      </c>
      <c r="J112" s="41">
        <f>J60+J111</f>
        <v>10385.209999999999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8250332.0300000003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228056+381594+145213+609157+1040989</f>
        <v>2405009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10655341.030000001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f>57447+499670.84</f>
        <v>557117.84000000008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254480.8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154232.74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26281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6523.74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992112.38000000012</v>
      </c>
      <c r="G136" s="41">
        <f>SUM(G123:G135)</f>
        <v>6523.74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11647453.410000002</v>
      </c>
      <c r="G140" s="41">
        <f>G121+SUM(G136:G137)</f>
        <v>6523.74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434279.59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138463.51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20854.080000000002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348679.29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397564.69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267002.32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267002.32</v>
      </c>
      <c r="G162" s="41">
        <f>SUM(G150:G161)</f>
        <v>348679.29</v>
      </c>
      <c r="H162" s="41">
        <f>SUM(H150:H161)</f>
        <v>991161.87000000011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267002.32</v>
      </c>
      <c r="G169" s="41">
        <f>G147+G162+SUM(G163:G168)</f>
        <v>348679.29</v>
      </c>
      <c r="H169" s="41">
        <f>H147+H162+SUM(H163:H168)</f>
        <v>991161.87000000011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115000</v>
      </c>
      <c r="H179" s="18"/>
      <c r="I179" s="18"/>
      <c r="J179" s="18">
        <f>500000+16000</f>
        <v>516000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115000</v>
      </c>
      <c r="H183" s="41">
        <f>SUM(H179:H182)</f>
        <v>0</v>
      </c>
      <c r="I183" s="41">
        <f>SUM(I179:I182)</f>
        <v>0</v>
      </c>
      <c r="J183" s="41">
        <f>SUM(J179:J182)</f>
        <v>516000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330000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330000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330000</v>
      </c>
      <c r="G192" s="41">
        <f>G183+SUM(G188:G191)</f>
        <v>115000</v>
      </c>
      <c r="H192" s="41">
        <f>+H183+SUM(H188:H191)</f>
        <v>0</v>
      </c>
      <c r="I192" s="41">
        <f>I177+I183+SUM(I188:I191)</f>
        <v>0</v>
      </c>
      <c r="J192" s="41">
        <f>J183</f>
        <v>516000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26219174.690000001</v>
      </c>
      <c r="G193" s="47">
        <f>G112+G140+G169+G192</f>
        <v>741022.04</v>
      </c>
      <c r="H193" s="47">
        <f>H112+H140+H169+H192</f>
        <v>1022206.8700000001</v>
      </c>
      <c r="I193" s="47">
        <f>I112+I140+I169+I192</f>
        <v>0</v>
      </c>
      <c r="J193" s="47">
        <f>J112+J140+J192</f>
        <v>526385.21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4373181.55</v>
      </c>
      <c r="G197" s="18">
        <v>1913081.45</v>
      </c>
      <c r="H197" s="18">
        <v>43812.800000000003</v>
      </c>
      <c r="I197" s="18">
        <v>145839.4</v>
      </c>
      <c r="J197" s="18">
        <v>155535.74</v>
      </c>
      <c r="K197" s="18">
        <v>2705.86</v>
      </c>
      <c r="L197" s="19">
        <f>SUM(F197:K197)</f>
        <v>6634156.8000000007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2467835.25</v>
      </c>
      <c r="G198" s="18">
        <v>655912.1</v>
      </c>
      <c r="H198" s="18">
        <v>483046.95</v>
      </c>
      <c r="I198" s="18">
        <v>12250.87</v>
      </c>
      <c r="J198" s="18">
        <v>18728.22</v>
      </c>
      <c r="K198" s="18">
        <v>1207.6300000000001</v>
      </c>
      <c r="L198" s="19">
        <f>SUM(F198:K198)</f>
        <v>3638981.0200000005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62780.69</v>
      </c>
      <c r="G200" s="18">
        <v>9104.4699999999993</v>
      </c>
      <c r="H200" s="18">
        <v>12459.3</v>
      </c>
      <c r="I200" s="18">
        <v>8401.4599999999991</v>
      </c>
      <c r="J200" s="18">
        <v>14446.45</v>
      </c>
      <c r="K200" s="18">
        <v>100</v>
      </c>
      <c r="L200" s="19">
        <f>SUM(F200:K200)</f>
        <v>107292.37000000001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307319.39+187996.71</f>
        <v>495316.1</v>
      </c>
      <c r="G202" s="18">
        <f>120483.74+75421.13</f>
        <v>195904.87</v>
      </c>
      <c r="H202" s="18">
        <f>2194.87+5617.8</f>
        <v>7812.67</v>
      </c>
      <c r="I202" s="18">
        <f>1689.01+3422.76</f>
        <v>5111.7700000000004</v>
      </c>
      <c r="J202" s="18">
        <f>2853.73+4845.17</f>
        <v>7698.9</v>
      </c>
      <c r="K202" s="18"/>
      <c r="L202" s="19">
        <f t="shared" ref="L202:L208" si="0">SUM(F202:K202)</f>
        <v>711844.31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75969.1+291585.76</f>
        <v>367554.86</v>
      </c>
      <c r="G203" s="18">
        <f>95781.53+103284.9</f>
        <v>199066.43</v>
      </c>
      <c r="H203" s="18">
        <f>23560.61+26351.12</f>
        <v>49911.729999999996</v>
      </c>
      <c r="I203" s="18">
        <f>747.59+42625.29</f>
        <v>43372.88</v>
      </c>
      <c r="J203" s="18">
        <f>1747.83+1777</f>
        <v>3524.83</v>
      </c>
      <c r="K203" s="18">
        <v>4491.04</v>
      </c>
      <c r="L203" s="19">
        <f t="shared" si="0"/>
        <v>667921.77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10722.7+156983.36</f>
        <v>167706.06</v>
      </c>
      <c r="G204" s="18">
        <f>17518.51+52551.38</f>
        <v>70069.89</v>
      </c>
      <c r="H204" s="18">
        <f>66205.52+6258.54</f>
        <v>72464.06</v>
      </c>
      <c r="I204" s="18">
        <f>747.01+3658.25</f>
        <v>4405.26</v>
      </c>
      <c r="J204" s="18">
        <f>434.97+5146.12</f>
        <v>5581.09</v>
      </c>
      <c r="K204" s="18"/>
      <c r="L204" s="19">
        <f t="shared" si="0"/>
        <v>320226.36000000004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706754.87</v>
      </c>
      <c r="G205" s="18">
        <v>248581.61</v>
      </c>
      <c r="H205" s="18">
        <v>11860.9</v>
      </c>
      <c r="I205" s="18">
        <v>11419.77</v>
      </c>
      <c r="J205" s="18">
        <v>8623.15</v>
      </c>
      <c r="K205" s="18">
        <v>3695.59</v>
      </c>
      <c r="L205" s="19">
        <f t="shared" si="0"/>
        <v>990935.89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118631.64</v>
      </c>
      <c r="G206" s="18">
        <v>39493.949999999997</v>
      </c>
      <c r="H206" s="18">
        <v>14130.79</v>
      </c>
      <c r="I206" s="18">
        <v>2284.2800000000002</v>
      </c>
      <c r="J206" s="18">
        <v>779.82</v>
      </c>
      <c r="K206" s="18">
        <v>915.23</v>
      </c>
      <c r="L206" s="19">
        <f t="shared" si="0"/>
        <v>176235.71000000002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651426.43000000005</v>
      </c>
      <c r="G207" s="18">
        <v>284426.40000000002</v>
      </c>
      <c r="H207" s="18">
        <v>270310.95</v>
      </c>
      <c r="I207" s="18">
        <v>452407.19</v>
      </c>
      <c r="J207" s="18">
        <v>9510.42</v>
      </c>
      <c r="K207" s="18"/>
      <c r="L207" s="19">
        <f t="shared" si="0"/>
        <v>1668081.39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314245.65000000002</v>
      </c>
      <c r="G208" s="18">
        <v>60325.55</v>
      </c>
      <c r="H208" s="18">
        <v>213788.1</v>
      </c>
      <c r="I208" s="18">
        <v>119449.85</v>
      </c>
      <c r="J208" s="18">
        <v>26863.22</v>
      </c>
      <c r="K208" s="18"/>
      <c r="L208" s="19">
        <f t="shared" si="0"/>
        <v>734672.37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9725433.0999999996</v>
      </c>
      <c r="G211" s="41">
        <f t="shared" si="1"/>
        <v>3675966.72</v>
      </c>
      <c r="H211" s="41">
        <f t="shared" si="1"/>
        <v>1179598.2500000002</v>
      </c>
      <c r="I211" s="41">
        <f t="shared" si="1"/>
        <v>804942.73</v>
      </c>
      <c r="J211" s="41">
        <f t="shared" si="1"/>
        <v>251291.84</v>
      </c>
      <c r="K211" s="41">
        <f t="shared" si="1"/>
        <v>13115.35</v>
      </c>
      <c r="L211" s="41">
        <f t="shared" si="1"/>
        <v>15650347.99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1786055.27+130.11-782.48</f>
        <v>1785402.9000000001</v>
      </c>
      <c r="G233" s="18">
        <f>783658.29-0.63</f>
        <v>783657.66</v>
      </c>
      <c r="H233" s="18">
        <v>44747.5</v>
      </c>
      <c r="I233" s="18">
        <v>59156.27</v>
      </c>
      <c r="J233" s="18">
        <v>137207.45000000001</v>
      </c>
      <c r="K233" s="18">
        <v>8599.3799999999992</v>
      </c>
      <c r="L233" s="19">
        <f>SUM(F233:K233)</f>
        <v>2818771.16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1044941.08</v>
      </c>
      <c r="G234" s="18">
        <v>358158.93</v>
      </c>
      <c r="H234" s="18">
        <v>317537.7</v>
      </c>
      <c r="I234" s="18">
        <v>14960.52</v>
      </c>
      <c r="J234" s="18">
        <v>10889.72</v>
      </c>
      <c r="K234" s="18">
        <v>6593.4</v>
      </c>
      <c r="L234" s="19">
        <f>SUM(F234:K234)</f>
        <v>1753081.3499999999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397424</v>
      </c>
      <c r="G235" s="18">
        <v>148020.04</v>
      </c>
      <c r="H235" s="18">
        <v>332870.95</v>
      </c>
      <c r="I235" s="18">
        <v>64410.71</v>
      </c>
      <c r="J235" s="18">
        <v>10764.37</v>
      </c>
      <c r="K235" s="18">
        <v>140</v>
      </c>
      <c r="L235" s="19">
        <f>SUM(F235:K235)</f>
        <v>953630.07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172921.60000000001</v>
      </c>
      <c r="G236" s="18">
        <v>46917.29</v>
      </c>
      <c r="H236" s="18">
        <v>62400.57</v>
      </c>
      <c r="I236" s="18">
        <v>5359.73</v>
      </c>
      <c r="J236" s="18">
        <v>12962.3</v>
      </c>
      <c r="K236" s="18">
        <v>3000</v>
      </c>
      <c r="L236" s="19">
        <f>SUM(F236:K236)</f>
        <v>303561.49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302092.67+59339</f>
        <v>361431.67</v>
      </c>
      <c r="G238" s="18">
        <f>116321.36+25790.9</f>
        <v>142112.26</v>
      </c>
      <c r="H238" s="18">
        <f>13323.29+2635.54</f>
        <v>15958.830000000002</v>
      </c>
      <c r="I238" s="18">
        <f>2140.03+1078.43</f>
        <v>3218.46</v>
      </c>
      <c r="J238" s="18">
        <f>2898+655.24</f>
        <v>3553.24</v>
      </c>
      <c r="K238" s="18">
        <f>477+35</f>
        <v>512</v>
      </c>
      <c r="L238" s="19">
        <f t="shared" ref="L238:L244" si="4">SUM(F238:K238)</f>
        <v>526786.46000000008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42988.29+172870.05</f>
        <v>215858.34</v>
      </c>
      <c r="G239" s="18">
        <f>64223.72+62076.38</f>
        <v>126300.1</v>
      </c>
      <c r="H239" s="18">
        <f>13111.87+16847.11</f>
        <v>29958.980000000003</v>
      </c>
      <c r="I239" s="18">
        <f>223.33+17505.11</f>
        <v>17728.440000000002</v>
      </c>
      <c r="J239" s="18"/>
      <c r="K239" s="18">
        <v>2994.02</v>
      </c>
      <c r="L239" s="19">
        <f t="shared" si="4"/>
        <v>392839.88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104655.58+3120</f>
        <v>107775.58</v>
      </c>
      <c r="G240" s="18">
        <f>11351.92+35034.26</f>
        <v>46386.18</v>
      </c>
      <c r="H240" s="18">
        <f>42660.66+4172.36</f>
        <v>46833.020000000004</v>
      </c>
      <c r="I240" s="18">
        <f>498.01+2438.83</f>
        <v>2936.84</v>
      </c>
      <c r="J240" s="18">
        <f>289.98</f>
        <v>289.98</v>
      </c>
      <c r="K240" s="18">
        <v>3430.74</v>
      </c>
      <c r="L240" s="19">
        <f t="shared" si="4"/>
        <v>207652.34000000003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262642.28000000003</v>
      </c>
      <c r="G241" s="18">
        <v>113008.23</v>
      </c>
      <c r="H241" s="18">
        <v>15561.99</v>
      </c>
      <c r="I241" s="18">
        <v>3699.43</v>
      </c>
      <c r="J241" s="18">
        <v>10652.37</v>
      </c>
      <c r="K241" s="18">
        <v>1709</v>
      </c>
      <c r="L241" s="19">
        <f t="shared" si="4"/>
        <v>407273.3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79087.759999999995</v>
      </c>
      <c r="G242" s="18">
        <v>26329.3</v>
      </c>
      <c r="H242" s="18">
        <v>9420.52</v>
      </c>
      <c r="I242" s="18">
        <v>1522.86</v>
      </c>
      <c r="J242" s="18">
        <v>519.88</v>
      </c>
      <c r="K242" s="18">
        <v>610.15</v>
      </c>
      <c r="L242" s="19">
        <f t="shared" si="4"/>
        <v>117490.47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344993.5</v>
      </c>
      <c r="G243" s="18">
        <v>161877.38</v>
      </c>
      <c r="H243" s="18">
        <v>254859.29</v>
      </c>
      <c r="I243" s="18">
        <v>240530.28</v>
      </c>
      <c r="J243" s="18">
        <v>4204.07</v>
      </c>
      <c r="K243" s="18">
        <v>175.24</v>
      </c>
      <c r="L243" s="19">
        <f t="shared" si="4"/>
        <v>1006639.76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242437.85</v>
      </c>
      <c r="G244" s="18">
        <v>44192.87</v>
      </c>
      <c r="H244" s="18">
        <f>136559.57+8171.93</f>
        <v>144731.5</v>
      </c>
      <c r="I244" s="18">
        <v>79643.47</v>
      </c>
      <c r="J244" s="18">
        <v>17908.810000000001</v>
      </c>
      <c r="K244" s="18"/>
      <c r="L244" s="19">
        <f t="shared" si="4"/>
        <v>528914.50000000012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5014916.5599999996</v>
      </c>
      <c r="G247" s="41">
        <f t="shared" si="5"/>
        <v>1996960.2400000002</v>
      </c>
      <c r="H247" s="41">
        <f t="shared" si="5"/>
        <v>1274880.8499999999</v>
      </c>
      <c r="I247" s="41">
        <f t="shared" si="5"/>
        <v>493167.01</v>
      </c>
      <c r="J247" s="41">
        <f t="shared" si="5"/>
        <v>208952.19</v>
      </c>
      <c r="K247" s="41">
        <f t="shared" si="5"/>
        <v>27763.930000000004</v>
      </c>
      <c r="L247" s="41">
        <f t="shared" si="5"/>
        <v>9016640.7799999993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327076</f>
        <v>327076</v>
      </c>
      <c r="I255" s="18"/>
      <c r="J255" s="18"/>
      <c r="K255" s="18"/>
      <c r="L255" s="19">
        <f t="shared" si="6"/>
        <v>327076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327076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327076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14740349.66</v>
      </c>
      <c r="G257" s="41">
        <f t="shared" si="8"/>
        <v>5672926.9600000009</v>
      </c>
      <c r="H257" s="41">
        <f t="shared" si="8"/>
        <v>2781555.1</v>
      </c>
      <c r="I257" s="41">
        <f t="shared" si="8"/>
        <v>1298109.74</v>
      </c>
      <c r="J257" s="41">
        <f t="shared" si="8"/>
        <v>460244.03</v>
      </c>
      <c r="K257" s="41">
        <f t="shared" si="8"/>
        <v>40879.280000000006</v>
      </c>
      <c r="L257" s="41">
        <f t="shared" si="8"/>
        <v>24994064.77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608490.4+100000</f>
        <v>708490.4</v>
      </c>
      <c r="L260" s="19">
        <f>SUM(F260:K260)</f>
        <v>708490.4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43094.46+51265</f>
        <v>94359.459999999992</v>
      </c>
      <c r="L261" s="19">
        <f>SUM(F261:K261)</f>
        <v>94359.459999999992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39340+75660</f>
        <v>115000</v>
      </c>
      <c r="L263" s="19">
        <f>SUM(F263:K263)</f>
        <v>115000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500000+16000</f>
        <v>516000</v>
      </c>
      <c r="L266" s="19">
        <f t="shared" si="9"/>
        <v>516000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1433849.8599999999</v>
      </c>
      <c r="L270" s="41">
        <f t="shared" si="9"/>
        <v>1433849.8599999999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14740349.66</v>
      </c>
      <c r="G271" s="42">
        <f t="shared" si="11"/>
        <v>5672926.9600000009</v>
      </c>
      <c r="H271" s="42">
        <f t="shared" si="11"/>
        <v>2781555.1</v>
      </c>
      <c r="I271" s="42">
        <f t="shared" si="11"/>
        <v>1298109.74</v>
      </c>
      <c r="J271" s="42">
        <f t="shared" si="11"/>
        <v>460244.03</v>
      </c>
      <c r="K271" s="42">
        <f t="shared" si="11"/>
        <v>1474729.14</v>
      </c>
      <c r="L271" s="42">
        <f t="shared" si="11"/>
        <v>26427914.629999999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242586.36-14426.2</f>
        <v>228160.15999999997</v>
      </c>
      <c r="G276" s="18">
        <f>69892.53-2691.14</f>
        <v>67201.39</v>
      </c>
      <c r="H276" s="18">
        <f>44751.27-11934.96</f>
        <v>32816.31</v>
      </c>
      <c r="I276" s="18">
        <f>24887.31-993.24+426</f>
        <v>24320.07</v>
      </c>
      <c r="J276" s="18">
        <v>63555.76</v>
      </c>
      <c r="K276" s="18"/>
      <c r="L276" s="19">
        <f>SUM(F276:K276)</f>
        <v>416053.69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2200</v>
      </c>
      <c r="G277" s="18"/>
      <c r="H277" s="18">
        <v>5860.39</v>
      </c>
      <c r="I277" s="18">
        <v>13596.25</v>
      </c>
      <c r="J277" s="18">
        <v>4928.37</v>
      </c>
      <c r="K277" s="18"/>
      <c r="L277" s="19">
        <f>SUM(F277:K277)</f>
        <v>26585.01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229749.9</v>
      </c>
      <c r="G281" s="18">
        <v>69307.929999999993</v>
      </c>
      <c r="H281" s="18">
        <v>7454.55</v>
      </c>
      <c r="I281" s="18">
        <v>200</v>
      </c>
      <c r="J281" s="18"/>
      <c r="K281" s="18"/>
      <c r="L281" s="19">
        <f t="shared" ref="L281:L287" si="12">SUM(F281:K281)</f>
        <v>306712.37999999995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8769.92-907.84</f>
        <v>7862.08</v>
      </c>
      <c r="G282" s="18">
        <f>1286.25-317.98</f>
        <v>968.27</v>
      </c>
      <c r="H282" s="18">
        <f>109917.5-18095.42</f>
        <v>91822.080000000002</v>
      </c>
      <c r="I282" s="18">
        <f>1347.62-334.97</f>
        <v>1012.6499999999999</v>
      </c>
      <c r="J282" s="18"/>
      <c r="K282" s="18"/>
      <c r="L282" s="19">
        <f t="shared" si="12"/>
        <v>101665.08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34419.22</v>
      </c>
      <c r="G283" s="18">
        <v>11220.96</v>
      </c>
      <c r="H283" s="18">
        <v>1568.64</v>
      </c>
      <c r="I283" s="18">
        <v>562.59</v>
      </c>
      <c r="J283" s="18"/>
      <c r="K283" s="18"/>
      <c r="L283" s="19">
        <f t="shared" si="12"/>
        <v>47771.409999999996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2965.68</v>
      </c>
      <c r="G284" s="18">
        <v>1328.06</v>
      </c>
      <c r="H284" s="18">
        <v>1596</v>
      </c>
      <c r="I284" s="18"/>
      <c r="J284" s="18"/>
      <c r="K284" s="18"/>
      <c r="L284" s="19">
        <f t="shared" si="12"/>
        <v>5889.74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5856.03</v>
      </c>
      <c r="G285" s="18">
        <v>2708.62</v>
      </c>
      <c r="H285" s="18"/>
      <c r="I285" s="18"/>
      <c r="J285" s="18"/>
      <c r="K285" s="18">
        <f>14274.42-2119.25</f>
        <v>12155.17</v>
      </c>
      <c r="L285" s="19">
        <f t="shared" si="12"/>
        <v>20719.82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4411.7700000000004</v>
      </c>
      <c r="I287" s="18"/>
      <c r="J287" s="18"/>
      <c r="K287" s="18"/>
      <c r="L287" s="19">
        <f t="shared" si="12"/>
        <v>4411.7700000000004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511213.07</v>
      </c>
      <c r="G290" s="42">
        <f t="shared" si="13"/>
        <v>152735.22999999998</v>
      </c>
      <c r="H290" s="42">
        <f t="shared" si="13"/>
        <v>145529.74000000002</v>
      </c>
      <c r="I290" s="42">
        <f t="shared" si="13"/>
        <v>39691.56</v>
      </c>
      <c r="J290" s="42">
        <f t="shared" si="13"/>
        <v>68484.13</v>
      </c>
      <c r="K290" s="42">
        <f t="shared" si="13"/>
        <v>12155.17</v>
      </c>
      <c r="L290" s="41">
        <f t="shared" si="13"/>
        <v>929808.89999999991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14426.2</v>
      </c>
      <c r="G314" s="18">
        <v>2691.14</v>
      </c>
      <c r="H314" s="18">
        <v>11934.96</v>
      </c>
      <c r="I314" s="18">
        <v>993.24</v>
      </c>
      <c r="J314" s="18"/>
      <c r="K314" s="18"/>
      <c r="L314" s="19">
        <f>SUM(F314:K314)</f>
        <v>30045.54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>
        <v>4477.33</v>
      </c>
      <c r="J316" s="18">
        <v>10635.9</v>
      </c>
      <c r="K316" s="18"/>
      <c r="L316" s="19">
        <f>SUM(F316:K316)</f>
        <v>15113.23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907.84</v>
      </c>
      <c r="G320" s="18">
        <v>317.98</v>
      </c>
      <c r="H320" s="18">
        <v>18095.419999999998</v>
      </c>
      <c r="I320" s="18">
        <v>334.97</v>
      </c>
      <c r="J320" s="18"/>
      <c r="K320" s="18"/>
      <c r="L320" s="19">
        <f t="shared" si="16"/>
        <v>19656.21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f>9760.05-5856.03</f>
        <v>3904.0199999999995</v>
      </c>
      <c r="G323" s="18">
        <f>4514.37-2708.62</f>
        <v>1805.75</v>
      </c>
      <c r="H323" s="18"/>
      <c r="I323" s="18"/>
      <c r="J323" s="18"/>
      <c r="K323" s="18">
        <v>2119.25</v>
      </c>
      <c r="L323" s="19">
        <f t="shared" si="16"/>
        <v>7829.0199999999995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5418.91</v>
      </c>
      <c r="I325" s="18"/>
      <c r="J325" s="18"/>
      <c r="K325" s="18"/>
      <c r="L325" s="19">
        <f t="shared" si="16"/>
        <v>5418.91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19238.060000000001</v>
      </c>
      <c r="G328" s="42">
        <f t="shared" si="17"/>
        <v>4814.87</v>
      </c>
      <c r="H328" s="42">
        <f t="shared" si="17"/>
        <v>35449.289999999994</v>
      </c>
      <c r="I328" s="42">
        <f t="shared" si="17"/>
        <v>5805.54</v>
      </c>
      <c r="J328" s="42">
        <f t="shared" si="17"/>
        <v>10635.9</v>
      </c>
      <c r="K328" s="42">
        <f t="shared" si="17"/>
        <v>2119.25</v>
      </c>
      <c r="L328" s="41">
        <f t="shared" si="17"/>
        <v>78062.91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190.48</v>
      </c>
      <c r="I332" s="18"/>
      <c r="J332" s="18"/>
      <c r="K332" s="18"/>
      <c r="L332" s="19">
        <f t="shared" ref="L332:L337" si="18">SUM(F332:K332)</f>
        <v>190.48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2494.0500000000002</v>
      </c>
      <c r="I336" s="18"/>
      <c r="J336" s="18"/>
      <c r="K336" s="18"/>
      <c r="L336" s="19">
        <f t="shared" si="18"/>
        <v>2494.0500000000002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2684.53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2684.53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530451.13</v>
      </c>
      <c r="G338" s="41">
        <f t="shared" si="20"/>
        <v>157550.09999999998</v>
      </c>
      <c r="H338" s="41">
        <f t="shared" si="20"/>
        <v>183663.56000000003</v>
      </c>
      <c r="I338" s="41">
        <f t="shared" si="20"/>
        <v>45497.1</v>
      </c>
      <c r="J338" s="41">
        <f t="shared" si="20"/>
        <v>79120.03</v>
      </c>
      <c r="K338" s="41">
        <f t="shared" si="20"/>
        <v>14274.42</v>
      </c>
      <c r="L338" s="41">
        <f t="shared" si="20"/>
        <v>1010556.34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530451.13</v>
      </c>
      <c r="G352" s="41">
        <f>G338</f>
        <v>157550.09999999998</v>
      </c>
      <c r="H352" s="41">
        <f>H338</f>
        <v>183663.56000000003</v>
      </c>
      <c r="I352" s="41">
        <f>I338</f>
        <v>45497.1</v>
      </c>
      <c r="J352" s="41">
        <f>J338</f>
        <v>79120.03</v>
      </c>
      <c r="K352" s="47">
        <f>K338+K351</f>
        <v>14274.42</v>
      </c>
      <c r="L352" s="41">
        <f>L338+L351</f>
        <v>1010556.34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60845.44+125521.52</f>
        <v>186366.96000000002</v>
      </c>
      <c r="G358" s="18">
        <f>4684.84+19371.45</f>
        <v>24056.29</v>
      </c>
      <c r="H358" s="18"/>
      <c r="I358" s="18">
        <f>110389.72+130087.19</f>
        <v>240476.91</v>
      </c>
      <c r="J358" s="18">
        <f>9112.92+12758.09</f>
        <v>21871.010000000002</v>
      </c>
      <c r="K358" s="18"/>
      <c r="L358" s="13">
        <f>SUM(F358:K358)</f>
        <v>472771.17000000004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97406.4+7741.78</f>
        <v>105148.18</v>
      </c>
      <c r="G360" s="18">
        <f>24200.18+1224.96+808.65</f>
        <v>26233.79</v>
      </c>
      <c r="H360" s="18">
        <v>1174.04</v>
      </c>
      <c r="I360" s="18">
        <f>117916.57+76.44</f>
        <v>117993.01000000001</v>
      </c>
      <c r="J360" s="18">
        <f>14580.68+1131.17</f>
        <v>15711.85</v>
      </c>
      <c r="K360" s="18">
        <v>1990</v>
      </c>
      <c r="L360" s="19">
        <f>SUM(F360:K360)</f>
        <v>268250.87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291515.14</v>
      </c>
      <c r="G362" s="47">
        <f t="shared" si="22"/>
        <v>50290.080000000002</v>
      </c>
      <c r="H362" s="47">
        <f t="shared" si="22"/>
        <v>1174.04</v>
      </c>
      <c r="I362" s="47">
        <f t="shared" si="22"/>
        <v>358469.92000000004</v>
      </c>
      <c r="J362" s="47">
        <f t="shared" si="22"/>
        <v>37582.86</v>
      </c>
      <c r="K362" s="47">
        <f t="shared" si="22"/>
        <v>1990</v>
      </c>
      <c r="L362" s="47">
        <f t="shared" si="22"/>
        <v>741022.04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103374.42</v>
      </c>
      <c r="G367" s="18">
        <v>120474.36</v>
      </c>
      <c r="H367" s="18">
        <v>108612.26</v>
      </c>
      <c r="I367" s="56">
        <f>SUM(F367:H367)</f>
        <v>332461.03999999998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7015.3</v>
      </c>
      <c r="G368" s="63">
        <v>9612.83</v>
      </c>
      <c r="H368" s="63">
        <f>9304.31+76.44</f>
        <v>9380.75</v>
      </c>
      <c r="I368" s="56">
        <f>SUM(F368:H368)</f>
        <v>26008.880000000001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110389.72</v>
      </c>
      <c r="G369" s="47">
        <f>SUM(G367:G368)</f>
        <v>130087.19</v>
      </c>
      <c r="H369" s="47">
        <f>SUM(H367:H368)</f>
        <v>117993.01</v>
      </c>
      <c r="I369" s="47">
        <f>SUM(I367:I368)</f>
        <v>358469.92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5391</v>
      </c>
      <c r="I388" s="18"/>
      <c r="J388" s="24" t="s">
        <v>289</v>
      </c>
      <c r="K388" s="24" t="s">
        <v>289</v>
      </c>
      <c r="L388" s="56">
        <f t="shared" si="25"/>
        <v>5391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f>516000</f>
        <v>516000</v>
      </c>
      <c r="H389" s="18"/>
      <c r="I389" s="18"/>
      <c r="J389" s="24" t="s">
        <v>289</v>
      </c>
      <c r="K389" s="24" t="s">
        <v>289</v>
      </c>
      <c r="L389" s="56">
        <f t="shared" si="25"/>
        <v>516000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516000</v>
      </c>
      <c r="H393" s="139">
        <f>SUM(H387:H392)</f>
        <v>5391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521391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2703.59</v>
      </c>
      <c r="I395" s="18"/>
      <c r="J395" s="24" t="s">
        <v>289</v>
      </c>
      <c r="K395" s="24" t="s">
        <v>289</v>
      </c>
      <c r="L395" s="56">
        <f t="shared" ref="L395:L400" si="26">SUM(F395:K395)</f>
        <v>2703.59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1093.28</v>
      </c>
      <c r="I397" s="18"/>
      <c r="J397" s="24" t="s">
        <v>289</v>
      </c>
      <c r="K397" s="24" t="s">
        <v>289</v>
      </c>
      <c r="L397" s="56">
        <f t="shared" si="26"/>
        <v>1093.28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1116.36+80.98</f>
        <v>1197.3399999999999</v>
      </c>
      <c r="I400" s="18"/>
      <c r="J400" s="24" t="s">
        <v>289</v>
      </c>
      <c r="K400" s="24" t="s">
        <v>289</v>
      </c>
      <c r="L400" s="56">
        <f t="shared" si="26"/>
        <v>1197.3399999999999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4994.21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4994.21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516000</v>
      </c>
      <c r="H408" s="47">
        <f>H393+H401+H407</f>
        <v>10385.209999999999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526385.21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330000</v>
      </c>
      <c r="L415" s="56">
        <f t="shared" si="27"/>
        <v>330000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330000</v>
      </c>
      <c r="L419" s="47">
        <f t="shared" si="28"/>
        <v>330000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330000</v>
      </c>
      <c r="L434" s="47">
        <f t="shared" si="32"/>
        <v>330000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2650566.04-695478.83-287174.22</f>
        <v>1667912.99</v>
      </c>
      <c r="G440" s="18">
        <f>695478.83+287174.22</f>
        <v>982653.04999999993</v>
      </c>
      <c r="H440" s="18"/>
      <c r="I440" s="56">
        <f t="shared" si="33"/>
        <v>2650566.04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1667912.99</v>
      </c>
      <c r="G446" s="13">
        <f>SUM(G439:G445)</f>
        <v>982653.04999999993</v>
      </c>
      <c r="H446" s="13">
        <f>SUM(H439:H445)</f>
        <v>0</v>
      </c>
      <c r="I446" s="13">
        <f>SUM(I439:I445)</f>
        <v>2650566.04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1667912.99</v>
      </c>
      <c r="G459" s="18">
        <v>982653.05</v>
      </c>
      <c r="H459" s="18"/>
      <c r="I459" s="56">
        <f t="shared" si="34"/>
        <v>2650566.04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1667912.99</v>
      </c>
      <c r="G460" s="83">
        <f>SUM(G454:G459)</f>
        <v>982653.05</v>
      </c>
      <c r="H460" s="83">
        <f>SUM(H454:H459)</f>
        <v>0</v>
      </c>
      <c r="I460" s="83">
        <f>SUM(I454:I459)</f>
        <v>2650566.04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1667912.99</v>
      </c>
      <c r="G461" s="42">
        <f>G452+G460</f>
        <v>982653.05</v>
      </c>
      <c r="H461" s="42">
        <f>H452+H460</f>
        <v>0</v>
      </c>
      <c r="I461" s="42">
        <f>I452+I460</f>
        <v>2650566.04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891</v>
      </c>
      <c r="B465" s="105">
        <v>19</v>
      </c>
      <c r="C465" s="111">
        <v>1</v>
      </c>
      <c r="D465" s="2" t="s">
        <v>433</v>
      </c>
      <c r="E465" s="111"/>
      <c r="F465" s="18">
        <v>957602.03</v>
      </c>
      <c r="G465" s="18">
        <v>0</v>
      </c>
      <c r="H465" s="18">
        <v>50643.03</v>
      </c>
      <c r="I465" s="18">
        <v>0</v>
      </c>
      <c r="J465" s="18">
        <v>2455547.94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26219174.690000001</v>
      </c>
      <c r="G468" s="18">
        <v>741022.04</v>
      </c>
      <c r="H468" s="18">
        <v>1022206.87</v>
      </c>
      <c r="I468" s="18"/>
      <c r="J468" s="18">
        <f>516000+10385.21</f>
        <v>526385.21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14652.56</v>
      </c>
      <c r="G469" s="18"/>
      <c r="H469" s="18">
        <v>0.37</v>
      </c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26233827.25</v>
      </c>
      <c r="G470" s="53">
        <f>SUM(G468:G469)</f>
        <v>741022.04</v>
      </c>
      <c r="H470" s="53">
        <f>SUM(H468:H469)</f>
        <v>1022207.24</v>
      </c>
      <c r="I470" s="53">
        <f>SUM(I468:I469)</f>
        <v>0</v>
      </c>
      <c r="J470" s="53">
        <f>SUM(J468:J469)</f>
        <v>526385.21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25927914.63+500000</f>
        <v>26427914.629999999</v>
      </c>
      <c r="G472" s="18">
        <v>741022.04</v>
      </c>
      <c r="H472" s="18">
        <v>1010556.34</v>
      </c>
      <c r="I472" s="18"/>
      <c r="J472" s="18">
        <v>330000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1367.11</v>
      </c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26427914.629999999</v>
      </c>
      <c r="G474" s="53">
        <f>SUM(G472:G473)</f>
        <v>741022.04</v>
      </c>
      <c r="H474" s="53">
        <f>SUM(H472:H473)</f>
        <v>1010556.34</v>
      </c>
      <c r="I474" s="53">
        <f>SUM(I472:I473)</f>
        <v>0</v>
      </c>
      <c r="J474" s="53">
        <f>SUM(J472:J473)</f>
        <v>331367.11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763514.65000000224</v>
      </c>
      <c r="G476" s="53">
        <f>(G465+G470)- G474</f>
        <v>0</v>
      </c>
      <c r="H476" s="53">
        <f>(H465+H470)- H474</f>
        <v>62293.930000000051</v>
      </c>
      <c r="I476" s="53">
        <f>(I465+I470)- I474</f>
        <v>0</v>
      </c>
      <c r="J476" s="53">
        <f>(J465+J470)- J474</f>
        <v>2650566.04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 t="s">
        <v>918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8" t="s">
        <v>916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4" t="s">
        <v>917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19</v>
      </c>
      <c r="G490" s="154">
        <v>5</v>
      </c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1911965</v>
      </c>
      <c r="G493" s="18">
        <v>3042452</v>
      </c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0.05</v>
      </c>
      <c r="G494" s="18">
        <v>0.02</v>
      </c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1200000</v>
      </c>
      <c r="G495" s="18">
        <v>1825471.19</v>
      </c>
      <c r="H495" s="18"/>
      <c r="I495" s="18"/>
      <c r="J495" s="18"/>
      <c r="K495" s="53">
        <f>SUM(F495:J495)</f>
        <v>3025471.19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100000</v>
      </c>
      <c r="G497" s="18">
        <v>608490.4</v>
      </c>
      <c r="H497" s="18"/>
      <c r="I497" s="18"/>
      <c r="J497" s="18"/>
      <c r="K497" s="53">
        <f t="shared" si="35"/>
        <v>708490.4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1100000</v>
      </c>
      <c r="G498" s="203">
        <v>1216977</v>
      </c>
      <c r="H498" s="203"/>
      <c r="I498" s="203"/>
      <c r="J498" s="203"/>
      <c r="K498" s="204">
        <f t="shared" si="35"/>
        <v>2316977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261482.5</v>
      </c>
      <c r="G499" s="18">
        <f>G502+16000</f>
        <v>44482</v>
      </c>
      <c r="H499" s="18"/>
      <c r="I499" s="18"/>
      <c r="J499" s="18"/>
      <c r="K499" s="53">
        <f t="shared" si="35"/>
        <v>305964.5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1361482.5</v>
      </c>
      <c r="G500" s="42">
        <f>SUM(G498:G499)</f>
        <v>1261459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2622941.5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100000</v>
      </c>
      <c r="G501" s="203">
        <v>608490.4</v>
      </c>
      <c r="H501" s="203"/>
      <c r="I501" s="203"/>
      <c r="J501" s="203"/>
      <c r="K501" s="204">
        <f t="shared" si="35"/>
        <v>708490.4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47225</v>
      </c>
      <c r="G502" s="18">
        <v>28482</v>
      </c>
      <c r="H502" s="18"/>
      <c r="I502" s="18"/>
      <c r="J502" s="18"/>
      <c r="K502" s="53">
        <f t="shared" si="35"/>
        <v>75707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147225</v>
      </c>
      <c r="G503" s="42">
        <f>SUM(G501:G502)</f>
        <v>636972.4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784197.4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1009864.4</v>
      </c>
      <c r="G521" s="18">
        <f>85838.48+85924.73+16000+22250.82+74317.65+101484.32+35132.42</f>
        <v>420948.42</v>
      </c>
      <c r="H521" s="18">
        <v>316395.95</v>
      </c>
      <c r="I521" s="18">
        <v>30787.72</v>
      </c>
      <c r="J521" s="18">
        <v>27271.95</v>
      </c>
      <c r="K521" s="18">
        <v>1999.63</v>
      </c>
      <c r="L521" s="88">
        <f>SUM(F521:K521)</f>
        <v>1807268.0699999998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279535.09+2200</f>
        <v>281735.09000000003</v>
      </c>
      <c r="G523" s="18">
        <f>96055.49+17143.11+29225.76+39407.95</f>
        <v>181832.31</v>
      </c>
      <c r="H523" s="18">
        <v>395293.02</v>
      </c>
      <c r="I523" s="18">
        <v>10019.92</v>
      </c>
      <c r="J523" s="18">
        <v>7274.36</v>
      </c>
      <c r="K523" s="18">
        <v>5801.4</v>
      </c>
      <c r="L523" s="88">
        <f>SUM(F523:K523)</f>
        <v>881956.10000000009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1291599.49</v>
      </c>
      <c r="G524" s="108">
        <f t="shared" ref="G524:L524" si="36">SUM(G521:G523)</f>
        <v>602780.73</v>
      </c>
      <c r="H524" s="108">
        <f t="shared" si="36"/>
        <v>711688.97</v>
      </c>
      <c r="I524" s="108">
        <f t="shared" si="36"/>
        <v>40807.64</v>
      </c>
      <c r="J524" s="108">
        <f t="shared" si="36"/>
        <v>34546.31</v>
      </c>
      <c r="K524" s="108">
        <f t="shared" si="36"/>
        <v>7801.03</v>
      </c>
      <c r="L524" s="89">
        <f t="shared" si="36"/>
        <v>2689224.17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1697253.62</v>
      </c>
      <c r="G526" s="18">
        <f>144266.56+38372.7+25965.73+67656.21+35132.41</f>
        <v>311393.61</v>
      </c>
      <c r="H526" s="18">
        <v>72041.320000000007</v>
      </c>
      <c r="I526" s="18"/>
      <c r="J526" s="18"/>
      <c r="K526" s="18"/>
      <c r="L526" s="88">
        <f>SUM(F526:K526)</f>
        <v>2080688.55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327391.5</v>
      </c>
      <c r="G528" s="18">
        <f>7019.04+27828.28+10823.07</f>
        <v>45670.39</v>
      </c>
      <c r="H528" s="18">
        <v>20319.349999999999</v>
      </c>
      <c r="I528" s="18"/>
      <c r="J528" s="18"/>
      <c r="K528" s="18"/>
      <c r="L528" s="88">
        <f>SUM(F528:K528)</f>
        <v>393381.24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2024645.12</v>
      </c>
      <c r="G529" s="89">
        <f t="shared" ref="G529:L529" si="37">SUM(G526:G528)</f>
        <v>357064</v>
      </c>
      <c r="H529" s="89">
        <f t="shared" si="37"/>
        <v>92360.670000000013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2474069.79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155010.74</v>
      </c>
      <c r="G531" s="18">
        <v>42296.52</v>
      </c>
      <c r="H531" s="18"/>
      <c r="I531" s="18"/>
      <c r="J531" s="18"/>
      <c r="K531" s="18"/>
      <c r="L531" s="88">
        <f>SUM(F531:K531)</f>
        <v>197307.25999999998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43720.98</v>
      </c>
      <c r="G533" s="18">
        <v>11929.78</v>
      </c>
      <c r="H533" s="18"/>
      <c r="I533" s="18"/>
      <c r="J533" s="18"/>
      <c r="K533" s="18"/>
      <c r="L533" s="88">
        <f>SUM(F533:K533)</f>
        <v>55650.76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198731.72</v>
      </c>
      <c r="G534" s="89">
        <f t="shared" ref="G534:L534" si="38">SUM(G531:G533)</f>
        <v>54226.299999999996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252958.02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2395.4</v>
      </c>
      <c r="I536" s="18"/>
      <c r="J536" s="18"/>
      <c r="K536" s="18"/>
      <c r="L536" s="88">
        <f>SUM(F536:K536)</f>
        <v>2395.4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2395.4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2395.4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11449.82+90788.15+28723.27</f>
        <v>130961.24</v>
      </c>
      <c r="G541" s="18">
        <v>15364.22</v>
      </c>
      <c r="H541" s="18">
        <f>52722.27+30589.6</f>
        <v>83311.87</v>
      </c>
      <c r="I541" s="18">
        <v>29277.759999999998</v>
      </c>
      <c r="J541" s="18">
        <v>6583.97</v>
      </c>
      <c r="K541" s="18"/>
      <c r="L541" s="88">
        <f>SUM(F541:K541)</f>
        <v>265499.06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7633.21+16927.5</f>
        <v>24560.71</v>
      </c>
      <c r="G543" s="18">
        <v>10242.799999999999</v>
      </c>
      <c r="H543" s="18">
        <f>35148.18+18775</f>
        <v>53923.18</v>
      </c>
      <c r="I543" s="18">
        <v>19518.509999999998</v>
      </c>
      <c r="J543" s="18">
        <v>4389.3100000000004</v>
      </c>
      <c r="K543" s="18"/>
      <c r="L543" s="88">
        <f>SUM(F543:K543)</f>
        <v>112634.51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155521.95000000001</v>
      </c>
      <c r="G544" s="192">
        <f t="shared" ref="G544:L544" si="40">SUM(G541:G543)</f>
        <v>25607.019999999997</v>
      </c>
      <c r="H544" s="192">
        <f t="shared" si="40"/>
        <v>137235.04999999999</v>
      </c>
      <c r="I544" s="192">
        <f t="shared" si="40"/>
        <v>48796.27</v>
      </c>
      <c r="J544" s="192">
        <f t="shared" si="40"/>
        <v>10973.28</v>
      </c>
      <c r="K544" s="192">
        <f t="shared" si="40"/>
        <v>0</v>
      </c>
      <c r="L544" s="192">
        <f t="shared" si="40"/>
        <v>378133.57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3670498.2800000007</v>
      </c>
      <c r="G545" s="89">
        <f t="shared" ref="G545:L545" si="41">G524+G529+G534+G539+G544</f>
        <v>1039678.05</v>
      </c>
      <c r="H545" s="89">
        <f t="shared" si="41"/>
        <v>943680.09000000008</v>
      </c>
      <c r="I545" s="89">
        <f t="shared" si="41"/>
        <v>89603.91</v>
      </c>
      <c r="J545" s="89">
        <f t="shared" si="41"/>
        <v>45519.59</v>
      </c>
      <c r="K545" s="89">
        <f t="shared" si="41"/>
        <v>7801.03</v>
      </c>
      <c r="L545" s="89">
        <f t="shared" si="41"/>
        <v>5796780.9500000002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1807268.0699999998</v>
      </c>
      <c r="G549" s="87">
        <f>L526</f>
        <v>2080688.55</v>
      </c>
      <c r="H549" s="87">
        <f>L531</f>
        <v>197307.25999999998</v>
      </c>
      <c r="I549" s="87">
        <f>L536</f>
        <v>2395.4</v>
      </c>
      <c r="J549" s="87">
        <f>L541</f>
        <v>265499.06</v>
      </c>
      <c r="K549" s="87">
        <f>SUM(F549:J549)</f>
        <v>4353158.34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881956.10000000009</v>
      </c>
      <c r="G551" s="87">
        <f>L528</f>
        <v>393381.24</v>
      </c>
      <c r="H551" s="87">
        <f>L533</f>
        <v>55650.76</v>
      </c>
      <c r="I551" s="87">
        <f>L538</f>
        <v>0</v>
      </c>
      <c r="J551" s="87">
        <f>L543</f>
        <v>112634.51</v>
      </c>
      <c r="K551" s="87">
        <f>SUM(F551:J551)</f>
        <v>1443622.61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2689224.17</v>
      </c>
      <c r="G552" s="89">
        <f t="shared" si="42"/>
        <v>2474069.79</v>
      </c>
      <c r="H552" s="89">
        <f t="shared" si="42"/>
        <v>252958.02</v>
      </c>
      <c r="I552" s="89">
        <f t="shared" si="42"/>
        <v>2395.4</v>
      </c>
      <c r="J552" s="89">
        <f t="shared" si="42"/>
        <v>378133.57</v>
      </c>
      <c r="K552" s="89">
        <f t="shared" si="42"/>
        <v>5796780.9500000002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13552.5</v>
      </c>
      <c r="G579" s="18"/>
      <c r="H579" s="18">
        <v>2730</v>
      </c>
      <c r="I579" s="87">
        <f t="shared" si="47"/>
        <v>16282.5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1583.46</v>
      </c>
      <c r="I580" s="87">
        <f t="shared" si="47"/>
        <v>1583.46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239082.59</v>
      </c>
      <c r="G582" s="18"/>
      <c r="H582" s="18">
        <v>365836.35</v>
      </c>
      <c r="I582" s="87">
        <f t="shared" si="47"/>
        <v>604918.93999999994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9190.08</v>
      </c>
      <c r="I584" s="87">
        <f t="shared" si="47"/>
        <v>9190.08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318533</v>
      </c>
      <c r="I585" s="87">
        <f t="shared" si="47"/>
        <v>318533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438946.32</v>
      </c>
      <c r="I591" s="18"/>
      <c r="J591" s="18">
        <v>322097.64</v>
      </c>
      <c r="K591" s="104">
        <f t="shared" ref="K591:K597" si="48">SUM(H591:J591)</f>
        <v>761043.96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265499.06</v>
      </c>
      <c r="I592" s="18"/>
      <c r="J592" s="18">
        <v>112634.51</v>
      </c>
      <c r="K592" s="104">
        <f t="shared" si="48"/>
        <v>378133.57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43959.77</v>
      </c>
      <c r="K593" s="104">
        <f t="shared" si="48"/>
        <v>43959.77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18004.07</v>
      </c>
      <c r="I594" s="18"/>
      <c r="J594" s="18">
        <v>46497.79</v>
      </c>
      <c r="K594" s="104">
        <f t="shared" si="48"/>
        <v>64501.86</v>
      </c>
      <c r="L594" s="24" t="s">
        <v>289</v>
      </c>
      <c r="M594" s="8"/>
      <c r="N594" s="271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12222.92</v>
      </c>
      <c r="I595" s="18"/>
      <c r="J595" s="18">
        <v>3724.79</v>
      </c>
      <c r="K595" s="104">
        <f t="shared" si="48"/>
        <v>15947.71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734672.37</v>
      </c>
      <c r="I598" s="108">
        <f>SUM(I591:I597)</f>
        <v>0</v>
      </c>
      <c r="J598" s="108">
        <f>SUM(J591:J597)</f>
        <v>528914.50000000012</v>
      </c>
      <c r="K598" s="108">
        <f>SUM(K591:K597)</f>
        <v>1263586.8700000001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319775.96999999997</v>
      </c>
      <c r="I604" s="18"/>
      <c r="J604" s="18">
        <v>219588.09</v>
      </c>
      <c r="K604" s="104">
        <f>SUM(H604:J604)</f>
        <v>539364.05999999994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319775.96999999997</v>
      </c>
      <c r="I605" s="108">
        <f>SUM(I602:I604)</f>
        <v>0</v>
      </c>
      <c r="J605" s="108">
        <f>SUM(J602:J604)</f>
        <v>219588.09</v>
      </c>
      <c r="K605" s="108">
        <f>SUM(K602:K604)</f>
        <v>539364.05999999994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60358.14</v>
      </c>
      <c r="G611" s="18">
        <v>5854.74</v>
      </c>
      <c r="H611" s="18">
        <v>400</v>
      </c>
      <c r="I611" s="18">
        <v>100</v>
      </c>
      <c r="J611" s="18"/>
      <c r="K611" s="18"/>
      <c r="L611" s="88">
        <f>SUM(F611:K611)</f>
        <v>66712.88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60358.14</v>
      </c>
      <c r="G614" s="108">
        <f t="shared" si="49"/>
        <v>5854.74</v>
      </c>
      <c r="H614" s="108">
        <f t="shared" si="49"/>
        <v>400</v>
      </c>
      <c r="I614" s="108">
        <f t="shared" si="49"/>
        <v>100</v>
      </c>
      <c r="J614" s="108">
        <f t="shared" si="49"/>
        <v>0</v>
      </c>
      <c r="K614" s="108">
        <f t="shared" si="49"/>
        <v>0</v>
      </c>
      <c r="L614" s="89">
        <f t="shared" si="49"/>
        <v>66712.88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2998150.8600000003</v>
      </c>
      <c r="H617" s="109">
        <f>SUM(F52)</f>
        <v>2998150.86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64777</v>
      </c>
      <c r="H619" s="109">
        <f>SUM(H52)</f>
        <v>64777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2650566.04</v>
      </c>
      <c r="H621" s="109">
        <f>SUM(J52)</f>
        <v>2650566.04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763514.65</v>
      </c>
      <c r="H622" s="109">
        <f>F476</f>
        <v>763514.65000000224</v>
      </c>
      <c r="I622" s="121" t="s">
        <v>101</v>
      </c>
      <c r="J622" s="109">
        <f t="shared" ref="J622:J655" si="50">G622-H622</f>
        <v>-2.2118911147117615E-9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62293.93</v>
      </c>
      <c r="H624" s="109">
        <f>H476</f>
        <v>62293.930000000051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2650566.04</v>
      </c>
      <c r="H626" s="109">
        <f>J476</f>
        <v>2650566.04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26219174.690000001</v>
      </c>
      <c r="H627" s="104">
        <f>SUM(F468)</f>
        <v>26219174.690000001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741022.04</v>
      </c>
      <c r="H628" s="104">
        <f>SUM(G468)</f>
        <v>741022.04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1022206.8700000001</v>
      </c>
      <c r="H629" s="104">
        <f>SUM(H468)</f>
        <v>1022206.87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526385.21</v>
      </c>
      <c r="H631" s="104">
        <f>SUM(J468)</f>
        <v>526385.21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26427914.629999999</v>
      </c>
      <c r="H632" s="104">
        <f>SUM(F472)</f>
        <v>26427914.629999999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1010556.34</v>
      </c>
      <c r="H633" s="104">
        <f>SUM(H472)</f>
        <v>1010556.34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358469.92000000004</v>
      </c>
      <c r="H634" s="104">
        <f>I369</f>
        <v>358469.92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741022.04</v>
      </c>
      <c r="H635" s="104">
        <f>SUM(G472)</f>
        <v>741022.04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526385.21</v>
      </c>
      <c r="H637" s="164">
        <f>SUM(J468)</f>
        <v>526385.21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330000</v>
      </c>
      <c r="H638" s="164">
        <f>SUM(J472)</f>
        <v>330000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1667912.99</v>
      </c>
      <c r="H639" s="104">
        <f>SUM(F461)</f>
        <v>1667912.99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982653.04999999993</v>
      </c>
      <c r="H640" s="104">
        <f>SUM(G461)</f>
        <v>982653.05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2650566.04</v>
      </c>
      <c r="H642" s="104">
        <f>SUM(I461)</f>
        <v>2650566.04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10385.209999999999</v>
      </c>
      <c r="H644" s="104">
        <f>H408</f>
        <v>10385.209999999999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516000</v>
      </c>
      <c r="H645" s="104">
        <f>G408</f>
        <v>516000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526385.21</v>
      </c>
      <c r="H646" s="104">
        <f>L408</f>
        <v>526385.21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1263586.8700000001</v>
      </c>
      <c r="H647" s="104">
        <f>L208+L226+L244</f>
        <v>1263586.8700000001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539364.05999999994</v>
      </c>
      <c r="H648" s="104">
        <f>(J257+J338)-(J255+J336)</f>
        <v>539364.06000000006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734672.37</v>
      </c>
      <c r="H649" s="104">
        <f>H598</f>
        <v>734672.37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528914.50000000012</v>
      </c>
      <c r="H651" s="104">
        <f>J598</f>
        <v>528914.50000000012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115000</v>
      </c>
      <c r="H652" s="104">
        <f>K263+K345</f>
        <v>115000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516000</v>
      </c>
      <c r="H655" s="104">
        <f>K266+K347</f>
        <v>516000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17052928.060000002</v>
      </c>
      <c r="G660" s="19">
        <f>(L229+L309+L359)</f>
        <v>0</v>
      </c>
      <c r="H660" s="19">
        <f>(L247+L328+L360)</f>
        <v>9362954.5599999987</v>
      </c>
      <c r="I660" s="19">
        <f>SUM(F660:H660)</f>
        <v>26415882.620000001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172782.20255897075</v>
      </c>
      <c r="G661" s="19">
        <f>(L359/IF(SUM(L358:L360)=0,1,SUM(L358:L360))*(SUM(G97:G110)))</f>
        <v>0</v>
      </c>
      <c r="H661" s="19">
        <f>(L360/IF(SUM(L358:L360)=0,1,SUM(L358:L360))*(SUM(G97:G110)))</f>
        <v>98036.807441029276</v>
      </c>
      <c r="I661" s="19">
        <f>SUM(F661:H661)</f>
        <v>270819.01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712220.92</v>
      </c>
      <c r="G662" s="19">
        <f>(L226+L306)-(J226+J306)</f>
        <v>0</v>
      </c>
      <c r="H662" s="19">
        <f>(L244+L325)-(J244+J325)</f>
        <v>516424.60000000015</v>
      </c>
      <c r="I662" s="19">
        <f>SUM(F662:H662)</f>
        <v>1228645.5200000003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639123.93999999994</v>
      </c>
      <c r="G663" s="198">
        <f>SUM(G575:G587)+SUM(I602:I604)+L612</f>
        <v>0</v>
      </c>
      <c r="H663" s="198">
        <f>SUM(H575:H587)+SUM(J602:J604)+L613</f>
        <v>917460.98</v>
      </c>
      <c r="I663" s="19">
        <f>SUM(F663:H663)</f>
        <v>1556584.92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15528800.997441031</v>
      </c>
      <c r="G664" s="19">
        <f>G660-SUM(G661:G663)</f>
        <v>0</v>
      </c>
      <c r="H664" s="19">
        <f>H660-SUM(H661:H663)</f>
        <v>7831032.1725589689</v>
      </c>
      <c r="I664" s="19">
        <f>I660-SUM(I661:I663)</f>
        <v>23359833.170000002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1003.94</v>
      </c>
      <c r="G665" s="247"/>
      <c r="H665" s="247">
        <v>513.27</v>
      </c>
      <c r="I665" s="19">
        <f>SUM(F665:H665)</f>
        <v>1517.21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15467.86</v>
      </c>
      <c r="G667" s="19" t="e">
        <f>ROUND(G664/G665,2)</f>
        <v>#DIV/0!</v>
      </c>
      <c r="H667" s="19">
        <f>ROUND(H664/H665,2)</f>
        <v>15257.14</v>
      </c>
      <c r="I667" s="19">
        <f>ROUND(I664/I665,2)</f>
        <v>15396.57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-19.690000000000001</v>
      </c>
      <c r="I670" s="19">
        <f>SUM(F670:H670)</f>
        <v>-19.690000000000001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15467.86</v>
      </c>
      <c r="G672" s="19" t="e">
        <f>ROUND((G664+G669)/(G665+G670),2)</f>
        <v>#DIV/0!</v>
      </c>
      <c r="H672" s="19">
        <f>ROUND((H664+H669)/(H665+H670),2)</f>
        <v>15865.78</v>
      </c>
      <c r="I672" s="19">
        <f>ROUND((I664+I669)/(I665+I670),2)</f>
        <v>15599.01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G40" sqref="G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Fall Mtn Regional School District-SAU 60</v>
      </c>
      <c r="C1" s="237" t="s">
        <v>839</v>
      </c>
    </row>
    <row r="2" spans="1:3" x14ac:dyDescent="0.2">
      <c r="A2" s="232"/>
      <c r="B2" s="231"/>
    </row>
    <row r="3" spans="1:3" x14ac:dyDescent="0.2">
      <c r="A3" s="276" t="s">
        <v>784</v>
      </c>
      <c r="B3" s="276"/>
      <c r="C3" s="276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75" t="s">
        <v>783</v>
      </c>
      <c r="C6" s="275"/>
    </row>
    <row r="7" spans="1:3" x14ac:dyDescent="0.2">
      <c r="A7" s="238" t="s">
        <v>786</v>
      </c>
      <c r="B7" s="273" t="s">
        <v>782</v>
      </c>
      <c r="C7" s="274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6401170.8100000005</v>
      </c>
      <c r="C9" s="228">
        <f>'DOE25'!G197+'DOE25'!G215+'DOE25'!G233+'DOE25'!G276+'DOE25'!G295+'DOE25'!G314</f>
        <v>2766631.64</v>
      </c>
    </row>
    <row r="10" spans="1:3" x14ac:dyDescent="0.2">
      <c r="A10" t="s">
        <v>779</v>
      </c>
      <c r="B10" s="239">
        <f>5895309.71+123892.49+949.68+185117.1+18964.18-782.48</f>
        <v>6223450.6799999988</v>
      </c>
      <c r="C10" s="239">
        <f>2716876.61-0.63</f>
        <v>2716875.98</v>
      </c>
    </row>
    <row r="11" spans="1:3" x14ac:dyDescent="0.2">
      <c r="A11" t="s">
        <v>780</v>
      </c>
      <c r="B11" s="239">
        <v>140034.62</v>
      </c>
      <c r="C11" s="239">
        <f>19604.85+26940</f>
        <v>46544.85</v>
      </c>
    </row>
    <row r="12" spans="1:3" x14ac:dyDescent="0.2">
      <c r="A12" t="s">
        <v>781</v>
      </c>
      <c r="B12" s="239">
        <v>37685.51</v>
      </c>
      <c r="C12" s="239">
        <v>3210.81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6401170.8099999987</v>
      </c>
      <c r="C13" s="230">
        <f>SUM(C10:C12)</f>
        <v>2766631.64</v>
      </c>
    </row>
    <row r="14" spans="1:3" x14ac:dyDescent="0.2">
      <c r="B14" s="229"/>
      <c r="C14" s="229"/>
    </row>
    <row r="15" spans="1:3" x14ac:dyDescent="0.2">
      <c r="B15" s="275" t="s">
        <v>783</v>
      </c>
      <c r="C15" s="275"/>
    </row>
    <row r="16" spans="1:3" x14ac:dyDescent="0.2">
      <c r="A16" s="238" t="s">
        <v>787</v>
      </c>
      <c r="B16" s="273" t="s">
        <v>707</v>
      </c>
      <c r="C16" s="274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3514976.33</v>
      </c>
      <c r="C18" s="228">
        <f>'DOE25'!G198+'DOE25'!G216+'DOE25'!G234+'DOE25'!G277+'DOE25'!G296+'DOE25'!G315</f>
        <v>1014071.03</v>
      </c>
    </row>
    <row r="19" spans="1:3" x14ac:dyDescent="0.2">
      <c r="A19" t="s">
        <v>779</v>
      </c>
      <c r="B19" s="239">
        <v>1302366.56</v>
      </c>
      <c r="C19" s="239">
        <f>573041.29</f>
        <v>573041.29</v>
      </c>
    </row>
    <row r="20" spans="1:3" x14ac:dyDescent="0.2">
      <c r="A20" t="s">
        <v>780</v>
      </c>
      <c r="B20" s="239">
        <v>1501259.85</v>
      </c>
      <c r="C20" s="239">
        <f>127907.02+28582.74</f>
        <v>156489.76</v>
      </c>
    </row>
    <row r="21" spans="1:3" x14ac:dyDescent="0.2">
      <c r="A21" t="s">
        <v>781</v>
      </c>
      <c r="B21" s="239">
        <v>711349.92</v>
      </c>
      <c r="C21" s="239">
        <v>284539.98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3514976.33</v>
      </c>
      <c r="C22" s="230">
        <f>SUM(C19:C21)</f>
        <v>1014071.03</v>
      </c>
    </row>
    <row r="23" spans="1:3" x14ac:dyDescent="0.2">
      <c r="B23" s="229"/>
      <c r="C23" s="229"/>
    </row>
    <row r="24" spans="1:3" x14ac:dyDescent="0.2">
      <c r="B24" s="275" t="s">
        <v>783</v>
      </c>
      <c r="C24" s="275"/>
    </row>
    <row r="25" spans="1:3" x14ac:dyDescent="0.2">
      <c r="A25" s="238" t="s">
        <v>788</v>
      </c>
      <c r="B25" s="273" t="s">
        <v>708</v>
      </c>
      <c r="C25" s="274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397424</v>
      </c>
      <c r="C27" s="233">
        <f>'DOE25'!G199+'DOE25'!G217+'DOE25'!G235+'DOE25'!G278+'DOE25'!G297+'DOE25'!G316</f>
        <v>148020.04</v>
      </c>
    </row>
    <row r="28" spans="1:3" x14ac:dyDescent="0.2">
      <c r="A28" t="s">
        <v>779</v>
      </c>
      <c r="B28" s="239">
        <v>397424</v>
      </c>
      <c r="C28" s="239">
        <v>148020.04</v>
      </c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397424</v>
      </c>
      <c r="C31" s="230">
        <f>SUM(C28:C30)</f>
        <v>148020.04</v>
      </c>
    </row>
    <row r="33" spans="1:3" x14ac:dyDescent="0.2">
      <c r="B33" s="275" t="s">
        <v>783</v>
      </c>
      <c r="C33" s="275"/>
    </row>
    <row r="34" spans="1:3" x14ac:dyDescent="0.2">
      <c r="A34" s="238" t="s">
        <v>789</v>
      </c>
      <c r="B34" s="273" t="s">
        <v>709</v>
      </c>
      <c r="C34" s="274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235702.29</v>
      </c>
      <c r="C36" s="234">
        <f>'DOE25'!G200+'DOE25'!G218+'DOE25'!G236+'DOE25'!G279+'DOE25'!G298+'DOE25'!G317</f>
        <v>56021.760000000002</v>
      </c>
    </row>
    <row r="37" spans="1:3" x14ac:dyDescent="0.2">
      <c r="A37" t="s">
        <v>779</v>
      </c>
      <c r="B37" s="239"/>
      <c r="C37" s="239"/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v>235702.29</v>
      </c>
      <c r="C39" s="239">
        <v>56021.760000000002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235702.29</v>
      </c>
      <c r="C40" s="230">
        <f>SUM(C37:C39)</f>
        <v>56021.760000000002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717</v>
      </c>
      <c r="B2" s="264" t="str">
        <f>'DOE25'!A2</f>
        <v>Fall Mtn Regional School District-SAU 60</v>
      </c>
      <c r="C2" s="180"/>
      <c r="D2" s="180" t="s">
        <v>792</v>
      </c>
      <c r="E2" s="180" t="s">
        <v>794</v>
      </c>
      <c r="F2" s="277" t="s">
        <v>821</v>
      </c>
      <c r="G2" s="278"/>
      <c r="H2" s="27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16209474.26</v>
      </c>
      <c r="D5" s="20">
        <f>SUM('DOE25'!L197:L200)+SUM('DOE25'!L215:L218)+SUM('DOE25'!L233:L236)-F5-G5</f>
        <v>15826593.74</v>
      </c>
      <c r="E5" s="242"/>
      <c r="F5" s="254">
        <f>SUM('DOE25'!J197:J200)+SUM('DOE25'!J215:J218)+SUM('DOE25'!J233:J236)</f>
        <v>360534.25</v>
      </c>
      <c r="G5" s="53">
        <f>SUM('DOE25'!K197:K200)+SUM('DOE25'!K215:K218)+SUM('DOE25'!K233:K236)</f>
        <v>22346.27</v>
      </c>
      <c r="H5" s="258"/>
    </row>
    <row r="6" spans="1:9" x14ac:dyDescent="0.2">
      <c r="A6" s="32">
        <v>2100</v>
      </c>
      <c r="B6" t="s">
        <v>801</v>
      </c>
      <c r="C6" s="244">
        <f t="shared" si="0"/>
        <v>1238630.77</v>
      </c>
      <c r="D6" s="20">
        <f>'DOE25'!L202+'DOE25'!L220+'DOE25'!L238-F6-G6</f>
        <v>1226866.6300000001</v>
      </c>
      <c r="E6" s="242"/>
      <c r="F6" s="254">
        <f>'DOE25'!J202+'DOE25'!J220+'DOE25'!J238</f>
        <v>11252.14</v>
      </c>
      <c r="G6" s="53">
        <f>'DOE25'!K202+'DOE25'!K220+'DOE25'!K238</f>
        <v>512</v>
      </c>
      <c r="H6" s="258"/>
    </row>
    <row r="7" spans="1:9" x14ac:dyDescent="0.2">
      <c r="A7" s="32">
        <v>2200</v>
      </c>
      <c r="B7" t="s">
        <v>834</v>
      </c>
      <c r="C7" s="244">
        <f t="shared" si="0"/>
        <v>1060761.6499999999</v>
      </c>
      <c r="D7" s="20">
        <f>'DOE25'!L203+'DOE25'!L221+'DOE25'!L239-F7-G7</f>
        <v>1049751.7599999998</v>
      </c>
      <c r="E7" s="242"/>
      <c r="F7" s="254">
        <f>'DOE25'!J203+'DOE25'!J221+'DOE25'!J239</f>
        <v>3524.83</v>
      </c>
      <c r="G7" s="53">
        <f>'DOE25'!K203+'DOE25'!K221+'DOE25'!K239</f>
        <v>7485.0599999999995</v>
      </c>
      <c r="H7" s="258"/>
    </row>
    <row r="8" spans="1:9" x14ac:dyDescent="0.2">
      <c r="A8" s="32">
        <v>2300</v>
      </c>
      <c r="B8" t="s">
        <v>802</v>
      </c>
      <c r="C8" s="244">
        <f t="shared" si="0"/>
        <v>43509.220000000147</v>
      </c>
      <c r="D8" s="242"/>
      <c r="E8" s="20">
        <f>'DOE25'!L204+'DOE25'!L222+'DOE25'!L240-F8-G8-D9-D11</f>
        <v>34207.410000000149</v>
      </c>
      <c r="F8" s="254">
        <f>'DOE25'!J204+'DOE25'!J222+'DOE25'!J240</f>
        <v>5871.07</v>
      </c>
      <c r="G8" s="53">
        <f>'DOE25'!K204+'DOE25'!K222+'DOE25'!K240</f>
        <v>3430.74</v>
      </c>
      <c r="H8" s="258"/>
    </row>
    <row r="9" spans="1:9" x14ac:dyDescent="0.2">
      <c r="A9" s="32">
        <v>2310</v>
      </c>
      <c r="B9" t="s">
        <v>818</v>
      </c>
      <c r="C9" s="244">
        <f t="shared" si="0"/>
        <v>153549.28</v>
      </c>
      <c r="D9" s="243">
        <v>153549.28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23790</v>
      </c>
      <c r="D10" s="242"/>
      <c r="E10" s="243">
        <v>23790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330820.19999999995</v>
      </c>
      <c r="D11" s="243">
        <f>374329.42-43509.22</f>
        <v>330820.19999999995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1398209.19</v>
      </c>
      <c r="D12" s="20">
        <f>'DOE25'!L205+'DOE25'!L223+'DOE25'!L241-F12-G12</f>
        <v>1373529.0799999998</v>
      </c>
      <c r="E12" s="242"/>
      <c r="F12" s="254">
        <f>'DOE25'!J205+'DOE25'!J223+'DOE25'!J241</f>
        <v>19275.52</v>
      </c>
      <c r="G12" s="53">
        <f>'DOE25'!K205+'DOE25'!K223+'DOE25'!K241</f>
        <v>5404.59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293726.18000000005</v>
      </c>
      <c r="D13" s="242"/>
      <c r="E13" s="20">
        <f>'DOE25'!L206+'DOE25'!L224+'DOE25'!L242-F13-G13</f>
        <v>290901.10000000003</v>
      </c>
      <c r="F13" s="254">
        <f>'DOE25'!J206+'DOE25'!J224+'DOE25'!J242</f>
        <v>1299.7</v>
      </c>
      <c r="G13" s="53">
        <f>'DOE25'!K206+'DOE25'!K224+'DOE25'!K242</f>
        <v>1525.38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2674721.15</v>
      </c>
      <c r="D14" s="20">
        <f>'DOE25'!L207+'DOE25'!L225+'DOE25'!L243-F14-G14</f>
        <v>2660831.4199999995</v>
      </c>
      <c r="E14" s="242"/>
      <c r="F14" s="254">
        <f>'DOE25'!J207+'DOE25'!J225+'DOE25'!J243</f>
        <v>13714.49</v>
      </c>
      <c r="G14" s="53">
        <f>'DOE25'!K207+'DOE25'!K225+'DOE25'!K243</f>
        <v>175.24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1263586.8700000001</v>
      </c>
      <c r="D15" s="20">
        <f>'DOE25'!L208+'DOE25'!L226+'DOE25'!L244-F15-G15</f>
        <v>1218814.8400000001</v>
      </c>
      <c r="E15" s="242"/>
      <c r="F15" s="254">
        <f>'DOE25'!J208+'DOE25'!J226+'DOE25'!J244</f>
        <v>44772.03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329570.05</v>
      </c>
      <c r="D22" s="242"/>
      <c r="E22" s="242"/>
      <c r="F22" s="254">
        <f>'DOE25'!L255+'DOE25'!L336</f>
        <v>329570.05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802849.86</v>
      </c>
      <c r="D25" s="242"/>
      <c r="E25" s="242"/>
      <c r="F25" s="257"/>
      <c r="G25" s="255"/>
      <c r="H25" s="256">
        <f>'DOE25'!L260+'DOE25'!L261+'DOE25'!L341+'DOE25'!L342</f>
        <v>802849.86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408561.00000000006</v>
      </c>
      <c r="D29" s="20">
        <f>'DOE25'!L358+'DOE25'!L359+'DOE25'!L360-'DOE25'!I367-F29-G29</f>
        <v>368988.14000000007</v>
      </c>
      <c r="E29" s="242"/>
      <c r="F29" s="254">
        <f>'DOE25'!J358+'DOE25'!J359+'DOE25'!J360</f>
        <v>37582.86</v>
      </c>
      <c r="G29" s="53">
        <f>'DOE25'!K358+'DOE25'!K359+'DOE25'!K360</f>
        <v>1990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1007871.8099999999</v>
      </c>
      <c r="D31" s="20">
        <f>'DOE25'!L290+'DOE25'!L309+'DOE25'!L328+'DOE25'!L333+'DOE25'!L334+'DOE25'!L335-F31-G31</f>
        <v>914477.35999999987</v>
      </c>
      <c r="E31" s="242"/>
      <c r="F31" s="254">
        <f>'DOE25'!J290+'DOE25'!J309+'DOE25'!J328+'DOE25'!J333+'DOE25'!J334+'DOE25'!J335</f>
        <v>79120.03</v>
      </c>
      <c r="G31" s="53">
        <f>'DOE25'!K290+'DOE25'!K309+'DOE25'!K328+'DOE25'!K333+'DOE25'!K334+'DOE25'!K335</f>
        <v>14274.42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25124222.449999999</v>
      </c>
      <c r="E33" s="245">
        <f>SUM(E5:E31)</f>
        <v>348898.51000000018</v>
      </c>
      <c r="F33" s="245">
        <f>SUM(F5:F31)</f>
        <v>906516.97000000009</v>
      </c>
      <c r="G33" s="245">
        <f>SUM(G5:G31)</f>
        <v>57143.7</v>
      </c>
      <c r="H33" s="245">
        <f>SUM(H5:H31)</f>
        <v>802849.86</v>
      </c>
    </row>
    <row r="35" spans="2:8" ht="12" thickBot="1" x14ac:dyDescent="0.25">
      <c r="B35" s="252" t="s">
        <v>847</v>
      </c>
      <c r="D35" s="253">
        <f>E33</f>
        <v>348898.51000000018</v>
      </c>
      <c r="E35" s="248"/>
    </row>
    <row r="36" spans="2:8" ht="12" thickTop="1" x14ac:dyDescent="0.2">
      <c r="B36" t="s">
        <v>815</v>
      </c>
      <c r="D36" s="20">
        <f>D33</f>
        <v>25124222.449999999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Mtn Regional School District-SAU 60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1760331.38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2650566.04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306191.17</v>
      </c>
      <c r="D11" s="95">
        <f>'DOE25'!G12</f>
        <v>-64921.83</v>
      </c>
      <c r="E11" s="95">
        <f>'DOE25'!H12</f>
        <v>-241269.34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556627.74</v>
      </c>
      <c r="D12" s="95">
        <f>'DOE25'!G13</f>
        <v>64802.33</v>
      </c>
      <c r="E12" s="95">
        <f>'DOE25'!H13</f>
        <v>277150.69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15288.47</v>
      </c>
      <c r="D13" s="95">
        <f>'DOE25'!G14</f>
        <v>119.5</v>
      </c>
      <c r="E13" s="95">
        <f>'DOE25'!H14</f>
        <v>28895.649999999998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359712.1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2998150.8600000003</v>
      </c>
      <c r="D18" s="41">
        <f>SUM(D8:D17)</f>
        <v>0</v>
      </c>
      <c r="E18" s="41">
        <f>SUM(E8:E17)</f>
        <v>64777</v>
      </c>
      <c r="F18" s="41">
        <f>SUM(F8:F17)</f>
        <v>0</v>
      </c>
      <c r="G18" s="41">
        <f>SUM(G8:G17)</f>
        <v>2650566.04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405309.23</v>
      </c>
      <c r="D23" s="95">
        <f>'DOE25'!G24</f>
        <v>0</v>
      </c>
      <c r="E23" s="95">
        <f>'DOE25'!H24</f>
        <v>2483.0700000000002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1825826.86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3500.12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2234636.21</v>
      </c>
      <c r="D31" s="41">
        <f>SUM(D21:D30)</f>
        <v>0</v>
      </c>
      <c r="E31" s="41">
        <f>SUM(E21:E30)</f>
        <v>2483.0700000000002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62293.93</v>
      </c>
      <c r="F47" s="95">
        <f>'DOE25'!I48</f>
        <v>0</v>
      </c>
      <c r="G47" s="95">
        <f>'DOE25'!J48</f>
        <v>2650566.04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263514.65000000002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763514.65</v>
      </c>
      <c r="D50" s="41">
        <f>SUM(D34:D49)</f>
        <v>0</v>
      </c>
      <c r="E50" s="41">
        <f>SUM(E34:E49)</f>
        <v>62293.93</v>
      </c>
      <c r="F50" s="41">
        <f>SUM(F34:F49)</f>
        <v>0</v>
      </c>
      <c r="G50" s="41">
        <f>SUM(G34:G49)</f>
        <v>2650566.04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2998150.86</v>
      </c>
      <c r="D51" s="41">
        <f>D50+D31</f>
        <v>0</v>
      </c>
      <c r="E51" s="41">
        <f>E50+E31</f>
        <v>64777</v>
      </c>
      <c r="F51" s="41">
        <f>F50+F31</f>
        <v>0</v>
      </c>
      <c r="G51" s="41">
        <f>G50+G31</f>
        <v>2650566.04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13651879.199999999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204082.47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20421.39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10385.209999999999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270819.01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98335.900000000009</v>
      </c>
      <c r="D61" s="95">
        <f>SUM('DOE25'!G98:G110)</f>
        <v>0</v>
      </c>
      <c r="E61" s="95">
        <f>SUM('DOE25'!H98:H110)</f>
        <v>31045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322839.76</v>
      </c>
      <c r="D62" s="130">
        <f>SUM(D57:D61)</f>
        <v>270819.01</v>
      </c>
      <c r="E62" s="130">
        <f>SUM(E57:E61)</f>
        <v>31045</v>
      </c>
      <c r="F62" s="130">
        <f>SUM(F57:F61)</f>
        <v>0</v>
      </c>
      <c r="G62" s="130">
        <f>SUM(G57:G61)</f>
        <v>10385.209999999999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13974718.959999999</v>
      </c>
      <c r="D63" s="22">
        <f>D56+D62</f>
        <v>270819.01</v>
      </c>
      <c r="E63" s="22">
        <f>E56+E62</f>
        <v>31045</v>
      </c>
      <c r="F63" s="22">
        <f>F56+F62</f>
        <v>0</v>
      </c>
      <c r="G63" s="22">
        <f>G56+G62</f>
        <v>10385.209999999999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8250332.0300000003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2405009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10655341.030000001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557117.84000000008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254480.8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180513.74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6523.74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992112.38000000012</v>
      </c>
      <c r="D78" s="130">
        <f>SUM(D72:D77)</f>
        <v>6523.74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11647453.410000002</v>
      </c>
      <c r="D81" s="130">
        <f>SUM(D79:D80)+D78+D70</f>
        <v>6523.74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267002.32</v>
      </c>
      <c r="D88" s="95">
        <f>SUM('DOE25'!G153:G161)</f>
        <v>348679.29</v>
      </c>
      <c r="E88" s="95">
        <f>SUM('DOE25'!H153:H161)</f>
        <v>991161.87000000011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267002.32</v>
      </c>
      <c r="D91" s="131">
        <f>SUM(D85:D90)</f>
        <v>348679.29</v>
      </c>
      <c r="E91" s="131">
        <f>SUM(E85:E90)</f>
        <v>991161.87000000011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115000</v>
      </c>
      <c r="E96" s="95">
        <f>'DOE25'!H179</f>
        <v>0</v>
      </c>
      <c r="F96" s="95">
        <f>'DOE25'!I179</f>
        <v>0</v>
      </c>
      <c r="G96" s="95">
        <f>'DOE25'!J179</f>
        <v>516000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330000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330000</v>
      </c>
      <c r="D103" s="86">
        <f>SUM(D93:D102)</f>
        <v>115000</v>
      </c>
      <c r="E103" s="86">
        <f>SUM(E93:E102)</f>
        <v>0</v>
      </c>
      <c r="F103" s="86">
        <f>SUM(F93:F102)</f>
        <v>0</v>
      </c>
      <c r="G103" s="86">
        <f>SUM(G93:G102)</f>
        <v>516000</v>
      </c>
    </row>
    <row r="104" spans="1:7" ht="12.75" thickTop="1" thickBot="1" x14ac:dyDescent="0.25">
      <c r="A104" s="33" t="s">
        <v>765</v>
      </c>
      <c r="C104" s="86">
        <f>C63+C81+C91+C103</f>
        <v>26219174.690000001</v>
      </c>
      <c r="D104" s="86">
        <f>D63+D81+D91+D103</f>
        <v>741022.04</v>
      </c>
      <c r="E104" s="86">
        <f>E63+E81+E91+E103</f>
        <v>1022206.8700000001</v>
      </c>
      <c r="F104" s="86">
        <f>F63+F81+F91+F103</f>
        <v>0</v>
      </c>
      <c r="G104" s="86">
        <f>G63+G81+G103</f>
        <v>526385.21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9452927.9600000009</v>
      </c>
      <c r="D109" s="24" t="s">
        <v>289</v>
      </c>
      <c r="E109" s="95">
        <f>('DOE25'!L276)+('DOE25'!L295)+('DOE25'!L314)</f>
        <v>446099.23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5392062.3700000001</v>
      </c>
      <c r="D110" s="24" t="s">
        <v>289</v>
      </c>
      <c r="E110" s="95">
        <f>('DOE25'!L277)+('DOE25'!L296)+('DOE25'!L315)</f>
        <v>26585.01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953630.07</v>
      </c>
      <c r="D111" s="24" t="s">
        <v>289</v>
      </c>
      <c r="E111" s="95">
        <f>('DOE25'!L278)+('DOE25'!L297)+('DOE25'!L316)</f>
        <v>15113.23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410853.86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190.48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16209474.260000002</v>
      </c>
      <c r="D115" s="86">
        <f>SUM(D109:D114)</f>
        <v>0</v>
      </c>
      <c r="E115" s="86">
        <f>SUM(E109:E114)</f>
        <v>487987.94999999995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1238630.77</v>
      </c>
      <c r="D118" s="24" t="s">
        <v>289</v>
      </c>
      <c r="E118" s="95">
        <f>+('DOE25'!L281)+('DOE25'!L300)+('DOE25'!L319)</f>
        <v>306712.37999999995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1060761.6499999999</v>
      </c>
      <c r="D119" s="24" t="s">
        <v>289</v>
      </c>
      <c r="E119" s="95">
        <f>+('DOE25'!L282)+('DOE25'!L301)+('DOE25'!L320)</f>
        <v>121321.29000000001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527878.70000000007</v>
      </c>
      <c r="D120" s="24" t="s">
        <v>289</v>
      </c>
      <c r="E120" s="95">
        <f>+('DOE25'!L283)+('DOE25'!L302)+('DOE25'!L321)</f>
        <v>47771.409999999996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1398209.19</v>
      </c>
      <c r="D121" s="24" t="s">
        <v>289</v>
      </c>
      <c r="E121" s="95">
        <f>+('DOE25'!L284)+('DOE25'!L303)+('DOE25'!L322)</f>
        <v>5889.74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293726.18000000005</v>
      </c>
      <c r="D122" s="24" t="s">
        <v>289</v>
      </c>
      <c r="E122" s="95">
        <f>+('DOE25'!L285)+('DOE25'!L304)+('DOE25'!L323)</f>
        <v>28548.84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2674721.15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1263586.8700000001</v>
      </c>
      <c r="D124" s="24" t="s">
        <v>289</v>
      </c>
      <c r="E124" s="95">
        <f>+('DOE25'!L287)+('DOE25'!L306)+('DOE25'!L325)</f>
        <v>9830.68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741022.04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8457514.5100000016</v>
      </c>
      <c r="D128" s="86">
        <f>SUM(D118:D127)</f>
        <v>741022.04</v>
      </c>
      <c r="E128" s="86">
        <f>SUM(E118:E127)</f>
        <v>520074.33999999991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327076</v>
      </c>
      <c r="D130" s="24" t="s">
        <v>289</v>
      </c>
      <c r="E130" s="129">
        <f>'DOE25'!L336</f>
        <v>2494.0500000000002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708490.4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94359.459999999992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330000</v>
      </c>
    </row>
    <row r="135" spans="1:7" x14ac:dyDescent="0.2">
      <c r="A135" t="s">
        <v>233</v>
      </c>
      <c r="B135" s="32" t="s">
        <v>234</v>
      </c>
      <c r="C135" s="95">
        <f>'DOE25'!L263</f>
        <v>115000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521391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4994.21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-10385.209999999963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1760925.86</v>
      </c>
      <c r="D144" s="141">
        <f>SUM(D130:D143)</f>
        <v>0</v>
      </c>
      <c r="E144" s="141">
        <f>SUM(E130:E143)</f>
        <v>2494.0500000000002</v>
      </c>
      <c r="F144" s="141">
        <f>SUM(F130:F143)</f>
        <v>0</v>
      </c>
      <c r="G144" s="141">
        <f>SUM(G130:G143)</f>
        <v>330000</v>
      </c>
    </row>
    <row r="145" spans="1:9" ht="12.75" thickTop="1" thickBot="1" x14ac:dyDescent="0.25">
      <c r="A145" s="33" t="s">
        <v>244</v>
      </c>
      <c r="C145" s="86">
        <f>(C115+C128+C144)</f>
        <v>26427914.630000003</v>
      </c>
      <c r="D145" s="86">
        <f>(D115+D128+D144)</f>
        <v>741022.04</v>
      </c>
      <c r="E145" s="86">
        <f>(E115+E128+E144)</f>
        <v>1010556.3399999999</v>
      </c>
      <c r="F145" s="86">
        <f>(F115+F128+F144)</f>
        <v>0</v>
      </c>
      <c r="G145" s="86">
        <f>(G115+G128+G144)</f>
        <v>330000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19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 t="str">
        <f>'DOE25'!G491</f>
        <v>09/10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 t="str">
        <f>'DOE25'!G492</f>
        <v>09/15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1911965</v>
      </c>
      <c r="C154" s="137">
        <f>'DOE25'!G493</f>
        <v>3042452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0.05</v>
      </c>
      <c r="C155" s="137">
        <f>'DOE25'!G494</f>
        <v>0.02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1200000</v>
      </c>
      <c r="C156" s="137">
        <f>'DOE25'!G495</f>
        <v>1825471.19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3025471.19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100000</v>
      </c>
      <c r="C158" s="137">
        <f>'DOE25'!G497</f>
        <v>608490.4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708490.4</v>
      </c>
    </row>
    <row r="159" spans="1:9" x14ac:dyDescent="0.2">
      <c r="A159" s="22" t="s">
        <v>35</v>
      </c>
      <c r="B159" s="137">
        <f>'DOE25'!F498</f>
        <v>1100000</v>
      </c>
      <c r="C159" s="137">
        <f>'DOE25'!G498</f>
        <v>1216977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2316977</v>
      </c>
    </row>
    <row r="160" spans="1:9" x14ac:dyDescent="0.2">
      <c r="A160" s="22" t="s">
        <v>36</v>
      </c>
      <c r="B160" s="137">
        <f>'DOE25'!F499</f>
        <v>261482.5</v>
      </c>
      <c r="C160" s="137">
        <f>'DOE25'!G499</f>
        <v>44482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305964.5</v>
      </c>
    </row>
    <row r="161" spans="1:7" x14ac:dyDescent="0.2">
      <c r="A161" s="22" t="s">
        <v>37</v>
      </c>
      <c r="B161" s="137">
        <f>'DOE25'!F500</f>
        <v>1361482.5</v>
      </c>
      <c r="C161" s="137">
        <f>'DOE25'!G500</f>
        <v>1261459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2622941.5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608490.4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708490.4</v>
      </c>
    </row>
    <row r="163" spans="1:7" x14ac:dyDescent="0.2">
      <c r="A163" s="22" t="s">
        <v>39</v>
      </c>
      <c r="B163" s="137">
        <f>'DOE25'!F502</f>
        <v>47225</v>
      </c>
      <c r="C163" s="137">
        <f>'DOE25'!G502</f>
        <v>28482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75707</v>
      </c>
    </row>
    <row r="164" spans="1:7" x14ac:dyDescent="0.2">
      <c r="A164" s="22" t="s">
        <v>246</v>
      </c>
      <c r="B164" s="137">
        <f>'DOE25'!F503</f>
        <v>147225</v>
      </c>
      <c r="C164" s="137">
        <f>'DOE25'!G503</f>
        <v>636972.4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784197.4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9" workbookViewId="0">
      <selection activeCell="H29" sqref="H2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6" t="s">
        <v>717</v>
      </c>
      <c r="B2" s="185" t="str">
        <f>'DOE25'!A2</f>
        <v>Fall Mtn Regional School District-SAU 60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15468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15866</v>
      </c>
    </row>
    <row r="7" spans="1:4" x14ac:dyDescent="0.2">
      <c r="B7" t="s">
        <v>705</v>
      </c>
      <c r="C7" s="178">
        <f>IF('DOE25'!I665+'DOE25'!I670=0,0,ROUND('DOE25'!I672,0))</f>
        <v>15599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9899027</v>
      </c>
      <c r="D10" s="181">
        <f>ROUND((C10/$C$28)*100,1)</f>
        <v>37.700000000000003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5418647</v>
      </c>
      <c r="D11" s="181">
        <f>ROUND((C11/$C$28)*100,1)</f>
        <v>20.7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968743</v>
      </c>
      <c r="D12" s="181">
        <f>ROUND((C12/$C$28)*100,1)</f>
        <v>3.7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410854</v>
      </c>
      <c r="D13" s="181">
        <f>ROUND((C13/$C$28)*100,1)</f>
        <v>1.6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1545343</v>
      </c>
      <c r="D15" s="181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1182083</v>
      </c>
      <c r="D16" s="181">
        <f t="shared" si="0"/>
        <v>4.5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575650</v>
      </c>
      <c r="D17" s="181">
        <f t="shared" si="0"/>
        <v>2.2000000000000002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1404099</v>
      </c>
      <c r="D18" s="181">
        <f t="shared" si="0"/>
        <v>5.4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322275</v>
      </c>
      <c r="D19" s="181">
        <f t="shared" si="0"/>
        <v>1.2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2674721</v>
      </c>
      <c r="D20" s="181">
        <f t="shared" si="0"/>
        <v>10.199999999999999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1273418</v>
      </c>
      <c r="D21" s="181">
        <f t="shared" si="0"/>
        <v>4.9000000000000004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190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94359</v>
      </c>
      <c r="D25" s="181">
        <f t="shared" si="0"/>
        <v>0.4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470202.99</v>
      </c>
      <c r="D27" s="181">
        <f t="shared" si="0"/>
        <v>1.8</v>
      </c>
    </row>
    <row r="28" spans="1:4" x14ac:dyDescent="0.2">
      <c r="B28" s="186" t="s">
        <v>723</v>
      </c>
      <c r="C28" s="179">
        <f>SUM(C10:C27)</f>
        <v>26239611.989999998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329570</v>
      </c>
    </row>
    <row r="30" spans="1:4" x14ac:dyDescent="0.2">
      <c r="B30" s="186" t="s">
        <v>729</v>
      </c>
      <c r="C30" s="179">
        <f>SUM(C28:C29)</f>
        <v>26569181.989999998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708490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13651879</v>
      </c>
      <c r="D35" s="181">
        <f t="shared" ref="D35:D40" si="1">ROUND((C35/$C$41)*100,1)</f>
        <v>50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364270.16999999993</v>
      </c>
      <c r="D36" s="181">
        <f t="shared" si="1"/>
        <v>1.3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10655341</v>
      </c>
      <c r="D37" s="181">
        <f t="shared" si="1"/>
        <v>39.1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998636</v>
      </c>
      <c r="D38" s="181">
        <f t="shared" si="1"/>
        <v>3.7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1606843</v>
      </c>
      <c r="D39" s="181">
        <f t="shared" si="1"/>
        <v>5.9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27276969.170000002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2"/>
      <c r="K1" s="212"/>
      <c r="L1" s="212"/>
      <c r="M1" s="213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Fall Mtn Regional School District-SAU 60</v>
      </c>
      <c r="G2" s="291"/>
      <c r="H2" s="291"/>
      <c r="I2" s="291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7">
        <v>3</v>
      </c>
      <c r="B4" s="218">
        <v>24</v>
      </c>
      <c r="C4" s="284" t="s">
        <v>919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0"/>
      <c r="O29" s="210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6"/>
      <c r="AB29" s="206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6"/>
      <c r="AO29" s="206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6"/>
      <c r="BB29" s="206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6"/>
      <c r="BO29" s="206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6"/>
      <c r="CB29" s="206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6"/>
      <c r="CO29" s="206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6"/>
      <c r="DB29" s="206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6"/>
      <c r="DO29" s="206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6"/>
      <c r="EB29" s="206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6"/>
      <c r="EO29" s="206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6"/>
      <c r="FB29" s="206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6"/>
      <c r="FO29" s="206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6"/>
      <c r="GB29" s="206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6"/>
      <c r="GO29" s="206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6"/>
      <c r="HB29" s="206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6"/>
      <c r="HO29" s="206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6"/>
      <c r="IB29" s="206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6"/>
      <c r="IO29" s="206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7"/>
      <c r="B30" s="218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0"/>
      <c r="O30" s="210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6"/>
      <c r="AB30" s="206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6"/>
      <c r="AO30" s="206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6"/>
      <c r="BB30" s="206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6"/>
      <c r="BO30" s="206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6"/>
      <c r="CB30" s="206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6"/>
      <c r="CO30" s="206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6"/>
      <c r="DB30" s="206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6"/>
      <c r="DO30" s="206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6"/>
      <c r="EB30" s="206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6"/>
      <c r="EO30" s="206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6"/>
      <c r="FB30" s="206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6"/>
      <c r="FO30" s="206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6"/>
      <c r="GB30" s="206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6"/>
      <c r="GO30" s="206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6"/>
      <c r="HB30" s="206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6"/>
      <c r="HO30" s="206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6"/>
      <c r="IB30" s="206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6"/>
      <c r="IO30" s="206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7"/>
      <c r="B31" s="218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0"/>
      <c r="O31" s="210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6"/>
      <c r="AB31" s="206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6"/>
      <c r="AO31" s="206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6"/>
      <c r="BB31" s="206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6"/>
      <c r="BO31" s="206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6"/>
      <c r="CB31" s="206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6"/>
      <c r="CO31" s="206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6"/>
      <c r="DB31" s="206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6"/>
      <c r="DO31" s="206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6"/>
      <c r="EB31" s="206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6"/>
      <c r="EO31" s="206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6"/>
      <c r="FB31" s="206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6"/>
      <c r="FO31" s="206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6"/>
      <c r="GB31" s="206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6"/>
      <c r="GO31" s="206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6"/>
      <c r="HB31" s="206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6"/>
      <c r="HO31" s="206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6"/>
      <c r="IB31" s="206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6"/>
      <c r="IO31" s="206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7"/>
      <c r="B32" s="218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2"/>
      <c r="O32" s="222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7"/>
      <c r="AB32" s="218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7"/>
      <c r="AO32" s="218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7"/>
      <c r="BB32" s="218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7"/>
      <c r="BO32" s="218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7"/>
      <c r="CB32" s="218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7"/>
      <c r="CO32" s="218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7"/>
      <c r="DB32" s="218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7"/>
      <c r="DO32" s="218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7"/>
      <c r="EB32" s="218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7"/>
      <c r="EO32" s="218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7"/>
      <c r="FB32" s="218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7"/>
      <c r="FO32" s="218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7"/>
      <c r="GB32" s="218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7"/>
      <c r="GO32" s="218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7"/>
      <c r="HB32" s="218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7"/>
      <c r="HO32" s="218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7"/>
      <c r="IB32" s="218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7"/>
      <c r="IO32" s="218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7"/>
      <c r="B33" s="218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0"/>
      <c r="O38" s="210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6"/>
      <c r="AB38" s="206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6"/>
      <c r="AO38" s="206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6"/>
      <c r="BB38" s="206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6"/>
      <c r="BO38" s="206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6"/>
      <c r="CB38" s="206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6"/>
      <c r="CO38" s="206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6"/>
      <c r="DB38" s="206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6"/>
      <c r="DO38" s="206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6"/>
      <c r="EB38" s="206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6"/>
      <c r="EO38" s="206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6"/>
      <c r="FB38" s="206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6"/>
      <c r="FO38" s="206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6"/>
      <c r="GB38" s="206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6"/>
      <c r="GO38" s="206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6"/>
      <c r="HB38" s="206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6"/>
      <c r="HO38" s="206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6"/>
      <c r="IB38" s="206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6"/>
      <c r="IO38" s="206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7"/>
      <c r="B39" s="218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0"/>
      <c r="O39" s="210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6"/>
      <c r="AB39" s="206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6"/>
      <c r="AO39" s="206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6"/>
      <c r="BB39" s="206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6"/>
      <c r="BO39" s="206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6"/>
      <c r="CB39" s="206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6"/>
      <c r="CO39" s="206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6"/>
      <c r="DB39" s="206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6"/>
      <c r="DO39" s="206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6"/>
      <c r="EB39" s="206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6"/>
      <c r="EO39" s="206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6"/>
      <c r="FB39" s="206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6"/>
      <c r="FO39" s="206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6"/>
      <c r="GB39" s="206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6"/>
      <c r="GO39" s="206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6"/>
      <c r="HB39" s="206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6"/>
      <c r="HO39" s="206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6"/>
      <c r="IB39" s="206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6"/>
      <c r="IO39" s="206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7"/>
      <c r="B40" s="218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0"/>
      <c r="O40" s="210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6"/>
      <c r="AB40" s="206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6"/>
      <c r="AO40" s="206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6"/>
      <c r="BB40" s="206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6"/>
      <c r="BO40" s="206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6"/>
      <c r="CB40" s="206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6"/>
      <c r="CO40" s="206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6"/>
      <c r="DB40" s="206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6"/>
      <c r="DO40" s="206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6"/>
      <c r="EB40" s="206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6"/>
      <c r="EO40" s="206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6"/>
      <c r="FB40" s="206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6"/>
      <c r="FO40" s="206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6"/>
      <c r="GB40" s="206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6"/>
      <c r="GO40" s="206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6"/>
      <c r="HB40" s="206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6"/>
      <c r="HO40" s="206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6"/>
      <c r="IB40" s="206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6"/>
      <c r="IO40" s="206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7"/>
      <c r="B41" s="218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7"/>
      <c r="B60" s="218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7"/>
      <c r="B61" s="218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7"/>
      <c r="B62" s="218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7"/>
      <c r="B63" s="218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7"/>
      <c r="B64" s="218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7"/>
      <c r="B65" s="218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7"/>
      <c r="B66" s="218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7"/>
      <c r="B67" s="218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7"/>
      <c r="B68" s="218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7"/>
      <c r="B69" s="218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9"/>
      <c r="B70" s="220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0"/>
      <c r="B74" s="210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0"/>
      <c r="B75" s="210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0"/>
      <c r="B76" s="210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0"/>
      <c r="B77" s="210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0"/>
      <c r="B78" s="210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0"/>
      <c r="B79" s="210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0"/>
      <c r="B80" s="210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0"/>
      <c r="B81" s="210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0"/>
      <c r="B82" s="210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0"/>
      <c r="B83" s="210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0"/>
      <c r="B84" s="210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0"/>
      <c r="B85" s="210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0"/>
      <c r="B86" s="210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0"/>
      <c r="B87" s="210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0"/>
      <c r="B88" s="210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0"/>
      <c r="B89" s="210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0"/>
      <c r="B90" s="210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2014-09-25T05:01:10Z</cp:lastPrinted>
  <dcterms:created xsi:type="dcterms:W3CDTF">1997-12-04T19:04:30Z</dcterms:created>
  <dcterms:modified xsi:type="dcterms:W3CDTF">2014-12-05T16:03:45Z</dcterms:modified>
</cp:coreProperties>
</file>