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5" i="1" l="1"/>
  <c r="F13" i="1"/>
  <c r="C37" i="12"/>
  <c r="B37" i="12"/>
  <c r="C19" i="12"/>
  <c r="C21" i="12"/>
  <c r="C20" i="12" l="1"/>
  <c r="C10" i="12"/>
  <c r="C12" i="12"/>
  <c r="B10" i="12"/>
  <c r="B12" i="12"/>
  <c r="I523" i="1" l="1"/>
  <c r="I521" i="1"/>
  <c r="H523" i="1"/>
  <c r="H521" i="1"/>
  <c r="I559" i="1"/>
  <c r="I557" i="1"/>
  <c r="H557" i="1"/>
  <c r="G557" i="1"/>
  <c r="F29" i="1"/>
  <c r="F28" i="1"/>
  <c r="J597" i="1"/>
  <c r="F665" i="1" l="1"/>
  <c r="F499" i="1"/>
  <c r="J604" i="1" l="1"/>
  <c r="H604" i="1"/>
  <c r="H591" i="1"/>
  <c r="G321" i="1" l="1"/>
  <c r="F320" i="1"/>
  <c r="H319" i="1"/>
  <c r="I315" i="1"/>
  <c r="J314" i="1"/>
  <c r="K282" i="1"/>
  <c r="H282" i="1"/>
  <c r="G282" i="1"/>
  <c r="I282" i="1"/>
  <c r="F282" i="1"/>
  <c r="I277" i="1"/>
  <c r="H277" i="1"/>
  <c r="J276" i="1"/>
  <c r="I244" i="1" l="1"/>
  <c r="G244" i="1"/>
  <c r="F244" i="1"/>
  <c r="I243" i="1"/>
  <c r="H243" i="1"/>
  <c r="G243" i="1"/>
  <c r="F243" i="1"/>
  <c r="G241" i="1"/>
  <c r="F241" i="1"/>
  <c r="I239" i="1"/>
  <c r="H239" i="1"/>
  <c r="I238" i="1"/>
  <c r="H238" i="1"/>
  <c r="G238" i="1"/>
  <c r="F238" i="1"/>
  <c r="G236" i="1"/>
  <c r="F236" i="1"/>
  <c r="H234" i="1"/>
  <c r="G234" i="1"/>
  <c r="I234" i="1"/>
  <c r="F234" i="1"/>
  <c r="H233" i="1"/>
  <c r="G233" i="1"/>
  <c r="F233" i="1"/>
  <c r="I208" i="1"/>
  <c r="G208" i="1"/>
  <c r="F208" i="1"/>
  <c r="I207" i="1"/>
  <c r="H207" i="1"/>
  <c r="G207" i="1"/>
  <c r="F207" i="1"/>
  <c r="G205" i="1"/>
  <c r="F205" i="1"/>
  <c r="I203" i="1"/>
  <c r="H203" i="1"/>
  <c r="I202" i="1"/>
  <c r="H202" i="1"/>
  <c r="G202" i="1"/>
  <c r="F202" i="1"/>
  <c r="G200" i="1"/>
  <c r="F200" i="1"/>
  <c r="H198" i="1"/>
  <c r="G198" i="1"/>
  <c r="K198" i="1"/>
  <c r="J198" i="1"/>
  <c r="I198" i="1"/>
  <c r="F198" i="1"/>
  <c r="H197" i="1"/>
  <c r="G197" i="1"/>
  <c r="F197" i="1"/>
  <c r="H155" i="1" l="1"/>
  <c r="G132" i="1"/>
  <c r="G158" i="1"/>
  <c r="G97" i="1"/>
  <c r="G161" i="1"/>
  <c r="H154" i="1"/>
  <c r="H159" i="1"/>
  <c r="H151" i="1"/>
  <c r="F68" i="1"/>
  <c r="F578" i="1" l="1"/>
  <c r="C45" i="2"/>
  <c r="G51" i="1"/>
  <c r="G623" i="1" s="1"/>
  <c r="F51" i="1"/>
  <c r="G622" i="1" s="1"/>
  <c r="C37" i="10"/>
  <c r="F40" i="2"/>
  <c r="D39" i="2"/>
  <c r="G655" i="1"/>
  <c r="F48" i="2"/>
  <c r="E48" i="2"/>
  <c r="E50" i="2" s="1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 s="1"/>
  <c r="I458" i="1"/>
  <c r="J39" i="1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C122" i="2" s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F19" i="13"/>
  <c r="D19" i="13" s="1"/>
  <c r="C19" i="13" s="1"/>
  <c r="G19" i="13"/>
  <c r="L253" i="1"/>
  <c r="F29" i="13"/>
  <c r="G29" i="13"/>
  <c r="L358" i="1"/>
  <c r="G661" i="1" s="1"/>
  <c r="L359" i="1"/>
  <c r="L360" i="1"/>
  <c r="I367" i="1"/>
  <c r="J290" i="1"/>
  <c r="F31" i="13" s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E118" i="2" s="1"/>
  <c r="L320" i="1"/>
  <c r="L321" i="1"/>
  <c r="E120" i="2" s="1"/>
  <c r="L322" i="1"/>
  <c r="L323" i="1"/>
  <c r="L324" i="1"/>
  <c r="L325" i="1"/>
  <c r="L326" i="1"/>
  <c r="L333" i="1"/>
  <c r="E114" i="2" s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J112" i="1" s="1"/>
  <c r="G59" i="2"/>
  <c r="G61" i="2"/>
  <c r="G62" i="2" s="1"/>
  <c r="F2" i="11"/>
  <c r="L613" i="1"/>
  <c r="H663" i="1" s="1"/>
  <c r="L612" i="1"/>
  <c r="G663" i="1"/>
  <c r="L611" i="1"/>
  <c r="F663" i="1" s="1"/>
  <c r="C40" i="10"/>
  <c r="F60" i="1"/>
  <c r="C56" i="2" s="1"/>
  <c r="G60" i="1"/>
  <c r="H60" i="1"/>
  <c r="I60" i="1"/>
  <c r="F79" i="1"/>
  <c r="C57" i="2" s="1"/>
  <c r="F94" i="1"/>
  <c r="C58" i="2" s="1"/>
  <c r="F111" i="1"/>
  <c r="G111" i="1"/>
  <c r="G112" i="1"/>
  <c r="H79" i="1"/>
  <c r="E57" i="2" s="1"/>
  <c r="H94" i="1"/>
  <c r="H111" i="1"/>
  <c r="I111" i="1"/>
  <c r="I112" i="1" s="1"/>
  <c r="I193" i="1" s="1"/>
  <c r="G630" i="1" s="1"/>
  <c r="J630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G169" i="1" s="1"/>
  <c r="H147" i="1"/>
  <c r="E85" i="2" s="1"/>
  <c r="H162" i="1"/>
  <c r="H169" i="1" s="1"/>
  <c r="I147" i="1"/>
  <c r="I162" i="1"/>
  <c r="C12" i="10"/>
  <c r="C13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51" i="1" s="1"/>
  <c r="L345" i="1"/>
  <c r="L346" i="1"/>
  <c r="L347" i="1"/>
  <c r="K351" i="1"/>
  <c r="L521" i="1"/>
  <c r="F549" i="1" s="1"/>
  <c r="L522" i="1"/>
  <c r="F550" i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/>
  <c r="L533" i="1"/>
  <c r="H551" i="1" s="1"/>
  <c r="L536" i="1"/>
  <c r="I549" i="1" s="1"/>
  <c r="L537" i="1"/>
  <c r="I550" i="1" s="1"/>
  <c r="L538" i="1"/>
  <c r="I551" i="1"/>
  <c r="L541" i="1"/>
  <c r="J549" i="1" s="1"/>
  <c r="L542" i="1"/>
  <c r="J550" i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 s="1"/>
  <c r="G17" i="2" s="1"/>
  <c r="C21" i="2"/>
  <c r="D21" i="2"/>
  <c r="E21" i="2"/>
  <c r="F21" i="2"/>
  <c r="F31" i="2" s="1"/>
  <c r="I448" i="1"/>
  <c r="J22" i="1" s="1"/>
  <c r="C22" i="2"/>
  <c r="D22" i="2"/>
  <c r="D31" i="2" s="1"/>
  <c r="E22" i="2"/>
  <c r="E31" i="2" s="1"/>
  <c r="F22" i="2"/>
  <c r="I449" i="1"/>
  <c r="J23" i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F34" i="2"/>
  <c r="C35" i="2"/>
  <c r="D35" i="2"/>
  <c r="E35" i="2"/>
  <c r="F35" i="2"/>
  <c r="I454" i="1"/>
  <c r="J49" i="1"/>
  <c r="G48" i="2"/>
  <c r="I456" i="1"/>
  <c r="J43" i="1" s="1"/>
  <c r="G42" i="2" s="1"/>
  <c r="I457" i="1"/>
  <c r="J37" i="1"/>
  <c r="I459" i="1"/>
  <c r="J48" i="1" s="1"/>
  <c r="G47" i="2" s="1"/>
  <c r="C49" i="2"/>
  <c r="D56" i="2"/>
  <c r="E56" i="2"/>
  <c r="F56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/>
  <c r="E69" i="2"/>
  <c r="E70" i="2" s="1"/>
  <c r="F69" i="2"/>
  <c r="F70" i="2"/>
  <c r="G69" i="2"/>
  <c r="G70" i="2" s="1"/>
  <c r="C72" i="2"/>
  <c r="F72" i="2"/>
  <c r="C73" i="2"/>
  <c r="F73" i="2"/>
  <c r="F78" i="2" s="1"/>
  <c r="F81" i="2" s="1"/>
  <c r="C74" i="2"/>
  <c r="C75" i="2"/>
  <c r="C78" i="2" s="1"/>
  <c r="C81" i="2" s="1"/>
  <c r="C76" i="2"/>
  <c r="E76" i="2"/>
  <c r="E78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F85" i="2"/>
  <c r="C87" i="2"/>
  <c r="E87" i="2"/>
  <c r="F87" i="2"/>
  <c r="C88" i="2"/>
  <c r="D88" i="2"/>
  <c r="E88" i="2"/>
  <c r="F88" i="2"/>
  <c r="C89" i="2"/>
  <c r="D89" i="2"/>
  <c r="D91" i="2" s="1"/>
  <c r="E89" i="2"/>
  <c r="F89" i="2"/>
  <c r="C90" i="2"/>
  <c r="C93" i="2"/>
  <c r="F93" i="2"/>
  <c r="C94" i="2"/>
  <c r="F94" i="2"/>
  <c r="D96" i="2"/>
  <c r="D103" i="2" s="1"/>
  <c r="E96" i="2"/>
  <c r="E103" i="2" s="1"/>
  <c r="F96" i="2"/>
  <c r="G96" i="2"/>
  <c r="C97" i="2"/>
  <c r="D97" i="2"/>
  <c r="E97" i="2"/>
  <c r="F97" i="2"/>
  <c r="G97" i="2"/>
  <c r="G103" i="2" s="1"/>
  <c r="C98" i="2"/>
  <c r="C103" i="2" s="1"/>
  <c r="D98" i="2"/>
  <c r="E98" i="2"/>
  <c r="G98" i="2"/>
  <c r="C99" i="2"/>
  <c r="D99" i="2"/>
  <c r="E99" i="2"/>
  <c r="F99" i="2"/>
  <c r="F103" i="2" s="1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C112" i="2"/>
  <c r="E112" i="2"/>
  <c r="C113" i="2"/>
  <c r="E113" i="2"/>
  <c r="C114" i="2"/>
  <c r="D115" i="2"/>
  <c r="F115" i="2"/>
  <c r="G115" i="2"/>
  <c r="E121" i="2"/>
  <c r="E122" i="2"/>
  <c r="E123" i="2"/>
  <c r="C124" i="2"/>
  <c r="C125" i="2"/>
  <c r="E125" i="2"/>
  <c r="F128" i="2"/>
  <c r="G128" i="2"/>
  <c r="C130" i="2"/>
  <c r="E130" i="2"/>
  <c r="F130" i="2"/>
  <c r="F144" i="2" s="1"/>
  <c r="F145" i="2" s="1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G159" i="2" s="1"/>
  <c r="C159" i="2"/>
  <c r="D159" i="2"/>
  <c r="E159" i="2"/>
  <c r="F159" i="2"/>
  <c r="B160" i="2"/>
  <c r="C160" i="2"/>
  <c r="G160" i="2" s="1"/>
  <c r="D160" i="2"/>
  <c r="E160" i="2"/>
  <c r="F160" i="2"/>
  <c r="F500" i="1"/>
  <c r="B161" i="2"/>
  <c r="G500" i="1"/>
  <c r="C161" i="2" s="1"/>
  <c r="H500" i="1"/>
  <c r="D161" i="2"/>
  <c r="I500" i="1"/>
  <c r="E161" i="2" s="1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/>
  <c r="I503" i="1"/>
  <c r="E164" i="2" s="1"/>
  <c r="J503" i="1"/>
  <c r="F164" i="2"/>
  <c r="F19" i="1"/>
  <c r="G617" i="1" s="1"/>
  <c r="G19" i="1"/>
  <c r="H19" i="1"/>
  <c r="G619" i="1" s="1"/>
  <c r="I19" i="1"/>
  <c r="F32" i="1"/>
  <c r="G32" i="1"/>
  <c r="H32" i="1"/>
  <c r="I32" i="1"/>
  <c r="H51" i="1"/>
  <c r="H52" i="1" s="1"/>
  <c r="H619" i="1" s="1"/>
  <c r="I51" i="1"/>
  <c r="I52" i="1" s="1"/>
  <c r="H620" i="1" s="1"/>
  <c r="J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L256" i="1" s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I460" i="1"/>
  <c r="I461" i="1" s="1"/>
  <c r="H642" i="1" s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G571" i="1" s="1"/>
  <c r="H560" i="1"/>
  <c r="I560" i="1"/>
  <c r="I571" i="1" s="1"/>
  <c r="J560" i="1"/>
  <c r="J571" i="1" s="1"/>
  <c r="K560" i="1"/>
  <c r="L562" i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1" i="1"/>
  <c r="J641" i="1" s="1"/>
  <c r="H641" i="1"/>
  <c r="G643" i="1"/>
  <c r="G644" i="1"/>
  <c r="H644" i="1"/>
  <c r="G645" i="1"/>
  <c r="H645" i="1"/>
  <c r="H647" i="1"/>
  <c r="G650" i="1"/>
  <c r="G651" i="1"/>
  <c r="G652" i="1"/>
  <c r="H652" i="1"/>
  <c r="J652" i="1" s="1"/>
  <c r="G653" i="1"/>
  <c r="H653" i="1"/>
  <c r="G654" i="1"/>
  <c r="H654" i="1"/>
  <c r="H655" i="1"/>
  <c r="F192" i="1"/>
  <c r="C26" i="10"/>
  <c r="D18" i="13"/>
  <c r="C18" i="13" s="1"/>
  <c r="D17" i="13"/>
  <c r="C17" i="13" s="1"/>
  <c r="F18" i="2"/>
  <c r="L427" i="1"/>
  <c r="K605" i="1"/>
  <c r="G648" i="1" s="1"/>
  <c r="K571" i="1"/>
  <c r="L433" i="1"/>
  <c r="L419" i="1"/>
  <c r="I169" i="1"/>
  <c r="J644" i="1"/>
  <c r="I476" i="1"/>
  <c r="H625" i="1" s="1"/>
  <c r="J625" i="1" s="1"/>
  <c r="J140" i="1"/>
  <c r="F571" i="1"/>
  <c r="G22" i="2"/>
  <c r="K545" i="1"/>
  <c r="C29" i="10"/>
  <c r="H140" i="1"/>
  <c r="L401" i="1"/>
  <c r="C139" i="2"/>
  <c r="L393" i="1"/>
  <c r="F22" i="13"/>
  <c r="H25" i="13"/>
  <c r="H33" i="13" s="1"/>
  <c r="H192" i="1"/>
  <c r="L309" i="1"/>
  <c r="J655" i="1"/>
  <c r="J645" i="1"/>
  <c r="L570" i="1"/>
  <c r="G36" i="2"/>
  <c r="C22" i="13"/>
  <c r="C138" i="2"/>
  <c r="F62" i="2"/>
  <c r="F63" i="2" s="1"/>
  <c r="C23" i="10"/>
  <c r="F91" i="2"/>
  <c r="F50" i="2"/>
  <c r="C24" i="10"/>
  <c r="G660" i="1"/>
  <c r="G31" i="13"/>
  <c r="L407" i="1"/>
  <c r="C140" i="2"/>
  <c r="I192" i="1"/>
  <c r="L408" i="1"/>
  <c r="G637" i="1" s="1"/>
  <c r="J637" i="1" s="1"/>
  <c r="J654" i="1"/>
  <c r="J653" i="1"/>
  <c r="L434" i="1"/>
  <c r="G638" i="1" s="1"/>
  <c r="J638" i="1" s="1"/>
  <c r="J434" i="1"/>
  <c r="F434" i="1"/>
  <c r="K434" i="1"/>
  <c r="G134" i="2" s="1"/>
  <c r="G144" i="2" s="1"/>
  <c r="G145" i="2" s="1"/>
  <c r="G140" i="1"/>
  <c r="F140" i="1"/>
  <c r="C5" i="10"/>
  <c r="H434" i="1"/>
  <c r="I140" i="1"/>
  <c r="I434" i="1"/>
  <c r="G434" i="1"/>
  <c r="A22" i="12" l="1"/>
  <c r="L544" i="1"/>
  <c r="F545" i="1"/>
  <c r="L539" i="1"/>
  <c r="I552" i="1"/>
  <c r="G545" i="1"/>
  <c r="L524" i="1"/>
  <c r="I545" i="1"/>
  <c r="H545" i="1"/>
  <c r="J545" i="1"/>
  <c r="L529" i="1"/>
  <c r="L560" i="1"/>
  <c r="L565" i="1"/>
  <c r="C31" i="2"/>
  <c r="C50" i="2"/>
  <c r="F52" i="1"/>
  <c r="H617" i="1" s="1"/>
  <c r="J617" i="1" s="1"/>
  <c r="C18" i="2"/>
  <c r="G624" i="1"/>
  <c r="H476" i="1"/>
  <c r="H624" i="1" s="1"/>
  <c r="J619" i="1"/>
  <c r="E18" i="2"/>
  <c r="F476" i="1"/>
  <c r="H622" i="1" s="1"/>
  <c r="J622" i="1" s="1"/>
  <c r="J634" i="1"/>
  <c r="F661" i="1"/>
  <c r="G52" i="1"/>
  <c r="H618" i="1" s="1"/>
  <c r="J618" i="1" s="1"/>
  <c r="D50" i="2"/>
  <c r="D51" i="2" s="1"/>
  <c r="D18" i="2"/>
  <c r="G476" i="1"/>
  <c r="H623" i="1" s="1"/>
  <c r="J623" i="1" s="1"/>
  <c r="F104" i="2"/>
  <c r="G81" i="2"/>
  <c r="E81" i="2"/>
  <c r="D15" i="13"/>
  <c r="C15" i="13" s="1"/>
  <c r="E16" i="13"/>
  <c r="C16" i="13" s="1"/>
  <c r="G158" i="2"/>
  <c r="D81" i="2"/>
  <c r="D104" i="2" s="1"/>
  <c r="F51" i="2"/>
  <c r="E62" i="2"/>
  <c r="E63" i="2" s="1"/>
  <c r="G162" i="2"/>
  <c r="E144" i="2"/>
  <c r="E51" i="2"/>
  <c r="G163" i="2"/>
  <c r="C141" i="2"/>
  <c r="C144" i="2" s="1"/>
  <c r="I446" i="1"/>
  <c r="G642" i="1" s="1"/>
  <c r="J642" i="1" s="1"/>
  <c r="J640" i="1"/>
  <c r="J639" i="1"/>
  <c r="K503" i="1"/>
  <c r="K598" i="1"/>
  <c r="G647" i="1" s="1"/>
  <c r="J647" i="1" s="1"/>
  <c r="D127" i="2"/>
  <c r="D128" i="2" s="1"/>
  <c r="D145" i="2" s="1"/>
  <c r="L362" i="1"/>
  <c r="G664" i="1"/>
  <c r="G667" i="1" s="1"/>
  <c r="D29" i="13"/>
  <c r="C29" i="13" s="1"/>
  <c r="H661" i="1"/>
  <c r="H662" i="1"/>
  <c r="K338" i="1"/>
  <c r="K352" i="1" s="1"/>
  <c r="I338" i="1"/>
  <c r="I352" i="1" s="1"/>
  <c r="E111" i="2"/>
  <c r="E124" i="2"/>
  <c r="L337" i="1"/>
  <c r="E119" i="2"/>
  <c r="H338" i="1"/>
  <c r="H352" i="1" s="1"/>
  <c r="G338" i="1"/>
  <c r="G352" i="1" s="1"/>
  <c r="F338" i="1"/>
  <c r="F352" i="1" s="1"/>
  <c r="L290" i="1"/>
  <c r="D31" i="13" s="1"/>
  <c r="C31" i="13" s="1"/>
  <c r="J338" i="1"/>
  <c r="J352" i="1" s="1"/>
  <c r="E109" i="2"/>
  <c r="E115" i="2" s="1"/>
  <c r="C19" i="10"/>
  <c r="C21" i="10"/>
  <c r="K257" i="1"/>
  <c r="K271" i="1" s="1"/>
  <c r="I662" i="1"/>
  <c r="J649" i="1"/>
  <c r="D14" i="13"/>
  <c r="C14" i="13" s="1"/>
  <c r="E13" i="13"/>
  <c r="C13" i="13" s="1"/>
  <c r="C120" i="2"/>
  <c r="C17" i="10"/>
  <c r="C119" i="2"/>
  <c r="J651" i="1"/>
  <c r="C20" i="10"/>
  <c r="J257" i="1"/>
  <c r="J271" i="1" s="1"/>
  <c r="C16" i="10"/>
  <c r="C15" i="10"/>
  <c r="G257" i="1"/>
  <c r="G271" i="1" s="1"/>
  <c r="I257" i="1"/>
  <c r="I271" i="1" s="1"/>
  <c r="L247" i="1"/>
  <c r="H660" i="1" s="1"/>
  <c r="C110" i="2"/>
  <c r="H257" i="1"/>
  <c r="H271" i="1" s="1"/>
  <c r="C123" i="2"/>
  <c r="G33" i="13"/>
  <c r="D12" i="13"/>
  <c r="C12" i="13" s="1"/>
  <c r="C18" i="10"/>
  <c r="D7" i="13"/>
  <c r="C7" i="13" s="1"/>
  <c r="D6" i="13"/>
  <c r="C6" i="13" s="1"/>
  <c r="C118" i="2"/>
  <c r="C11" i="10"/>
  <c r="L211" i="1"/>
  <c r="F33" i="13"/>
  <c r="C10" i="10"/>
  <c r="C109" i="2"/>
  <c r="D5" i="13"/>
  <c r="C5" i="13" s="1"/>
  <c r="F257" i="1"/>
  <c r="F271" i="1" s="1"/>
  <c r="E91" i="2"/>
  <c r="C38" i="10"/>
  <c r="H193" i="1"/>
  <c r="G629" i="1" s="1"/>
  <c r="J629" i="1" s="1"/>
  <c r="H112" i="1"/>
  <c r="C91" i="2"/>
  <c r="C39" i="10"/>
  <c r="C62" i="2"/>
  <c r="C63" i="2" s="1"/>
  <c r="F112" i="1"/>
  <c r="F193" i="1" s="1"/>
  <c r="G627" i="1" s="1"/>
  <c r="J627" i="1" s="1"/>
  <c r="C35" i="10"/>
  <c r="J552" i="1"/>
  <c r="K550" i="1"/>
  <c r="G552" i="1"/>
  <c r="G164" i="2"/>
  <c r="G9" i="2"/>
  <c r="G18" i="2" s="1"/>
  <c r="J19" i="1"/>
  <c r="G621" i="1" s="1"/>
  <c r="H552" i="1"/>
  <c r="I663" i="1"/>
  <c r="J193" i="1"/>
  <c r="J51" i="1"/>
  <c r="G38" i="2"/>
  <c r="G50" i="2" s="1"/>
  <c r="K549" i="1"/>
  <c r="F552" i="1"/>
  <c r="J643" i="1"/>
  <c r="G161" i="2"/>
  <c r="J32" i="1"/>
  <c r="G21" i="2"/>
  <c r="G31" i="2" s="1"/>
  <c r="K551" i="1"/>
  <c r="H646" i="1"/>
  <c r="G193" i="1"/>
  <c r="G628" i="1" s="1"/>
  <c r="J628" i="1" s="1"/>
  <c r="C25" i="13"/>
  <c r="G56" i="2"/>
  <c r="G63" i="2" s="1"/>
  <c r="G104" i="2" s="1"/>
  <c r="L545" i="1" l="1"/>
  <c r="L571" i="1"/>
  <c r="C51" i="2"/>
  <c r="J624" i="1"/>
  <c r="I661" i="1"/>
  <c r="E104" i="2"/>
  <c r="E33" i="13"/>
  <c r="D35" i="13" s="1"/>
  <c r="G672" i="1"/>
  <c r="C27" i="10"/>
  <c r="C28" i="10" s="1"/>
  <c r="D20" i="10" s="1"/>
  <c r="G635" i="1"/>
  <c r="J635" i="1" s="1"/>
  <c r="H664" i="1"/>
  <c r="H667" i="1" s="1"/>
  <c r="E128" i="2"/>
  <c r="E145" i="2" s="1"/>
  <c r="L338" i="1"/>
  <c r="L352" i="1" s="1"/>
  <c r="G633" i="1" s="1"/>
  <c r="J633" i="1" s="1"/>
  <c r="H648" i="1"/>
  <c r="J648" i="1" s="1"/>
  <c r="C115" i="2"/>
  <c r="L257" i="1"/>
  <c r="L271" i="1" s="1"/>
  <c r="G632" i="1" s="1"/>
  <c r="J632" i="1" s="1"/>
  <c r="C128" i="2"/>
  <c r="F660" i="1"/>
  <c r="D33" i="13"/>
  <c r="D36" i="13" s="1"/>
  <c r="C104" i="2"/>
  <c r="C36" i="10"/>
  <c r="C41" i="10" s="1"/>
  <c r="D35" i="10" s="1"/>
  <c r="G646" i="1"/>
  <c r="J646" i="1" s="1"/>
  <c r="G631" i="1"/>
  <c r="J631" i="1" s="1"/>
  <c r="K552" i="1"/>
  <c r="G51" i="2"/>
  <c r="G626" i="1"/>
  <c r="J626" i="1" s="1"/>
  <c r="J52" i="1"/>
  <c r="H621" i="1" s="1"/>
  <c r="J621" i="1" s="1"/>
  <c r="H672" i="1" l="1"/>
  <c r="C6" i="10" s="1"/>
  <c r="C145" i="2"/>
  <c r="H656" i="1"/>
  <c r="D16" i="10"/>
  <c r="C30" i="10"/>
  <c r="D18" i="10"/>
  <c r="D25" i="10"/>
  <c r="D11" i="10"/>
  <c r="D13" i="10"/>
  <c r="D10" i="10"/>
  <c r="D19" i="10"/>
  <c r="D23" i="10"/>
  <c r="D24" i="10"/>
  <c r="D27" i="10"/>
  <c r="D15" i="10"/>
  <c r="D26" i="10"/>
  <c r="D17" i="10"/>
  <c r="D21" i="10"/>
  <c r="D22" i="10"/>
  <c r="D12" i="10"/>
  <c r="F664" i="1"/>
  <c r="I660" i="1"/>
  <c r="I664" i="1" s="1"/>
  <c r="I672" i="1" s="1"/>
  <c r="C7" i="10" s="1"/>
  <c r="D38" i="10"/>
  <c r="D39" i="10"/>
  <c r="D36" i="10"/>
  <c r="D40" i="10"/>
  <c r="D37" i="10"/>
  <c r="D28" i="10" l="1"/>
  <c r="I667" i="1"/>
  <c r="F672" i="1"/>
  <c r="C4" i="10" s="1"/>
  <c r="F667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<sst xmlns="http://schemas.openxmlformats.org/spreadsheetml/2006/main" count="3956" uniqueCount="914">
  <si>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</si>
  <si>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</si>
  <si>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</si>
  <si>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</si>
  <si>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</si>
  <si>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</si>
  <si>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</si>
  <si>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</si>
  <si>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</si>
  <si>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</si>
  <si>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</si>
  <si>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</si>
  <si>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</si>
  <si>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</si>
  <si>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</si>
  <si>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</si>
  <si>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</si>
  <si>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</si>
  <si>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</si>
  <si>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</si>
  <si>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</si>
  <si>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</si>
  <si>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</si>
  <si>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</si>
  <si>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</si>
  <si>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</si>
  <si>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</si>
  <si>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</si>
  <si>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</si>
  <si>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</si>
  <si>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</si>
  <si>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</si>
  <si>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</si>
  <si>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</si>
  <si>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</si>
  <si>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</si>
  <si>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</si>
  <si>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</si>
  <si>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</si>
  <si>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</si>
  <si>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</si>
  <si>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</si>
  <si>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</si>
  <si>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</si>
  <si>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</si>
  <si>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</si>
  <si>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</si>
  <si>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</si>
  <si>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</si>
  <si>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</si>
  <si>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</si>
  <si>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</si>
  <si>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</si>
  <si>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</si>
  <si>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</si>
  <si>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</si>
  <si>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</si>
  <si>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</si>
  <si>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</si>
  <si>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</si>
  <si>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</si>
  <si>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</si>
  <si>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</si>
  <si>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</si>
  <si>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</si>
  <si>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</si>
  <si>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</si>
  <si>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</si>
  <si>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</si>
  <si>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</si>
  <si>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</si>
  <si>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</si>
  <si>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</si>
  <si>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</si>
  <si>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</si>
  <si>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</si>
  <si>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</si>
  <si>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</si>
  <si>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</si>
  <si>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</si>
  <si>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</si>
  <si>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</si>
  <si>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</si>
  <si>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</si>
  <si>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</si>
  <si>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</si>
  <si>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</si>
  <si>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</si>
  <si>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</si>
  <si>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</si>
  <si>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</si>
  <si>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</si>
  <si>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</si>
  <si>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</si>
  <si>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</si>
  <si>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</si>
  <si>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</si>
  <si>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</si>
  <si>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</si>
  <si>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</si>
  <si>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</si>
  <si>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</si>
  <si>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</si>
  <si>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</si>
  <si>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</si>
  <si>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</si>
  <si>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</si>
  <si>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</si>
  <si>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</si>
  <si>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</si>
  <si>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</si>
  <si>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</si>
  <si>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</si>
  <si>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</si>
  <si>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</si>
  <si>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</si>
  <si>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</si>
  <si>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</si>
  <si>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</si>
  <si>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</si>
  <si>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</si>
  <si>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</si>
  <si>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</si>
  <si>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</si>
  <si>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</si>
  <si>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</si>
  <si>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</si>
  <si>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</si>
  <si>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</si>
  <si>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</si>
  <si>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</si>
  <si>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</si>
  <si>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</si>
  <si>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</si>
  <si>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</si>
  <si>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</si>
  <si>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</si>
  <si>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</si>
  <si>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</si>
  <si>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</si>
  <si>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</si>
  <si>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</si>
  <si>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</si>
  <si>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</si>
  <si>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</si>
  <si>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</si>
  <si>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</si>
  <si>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</si>
  <si>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</si>
  <si>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</si>
  <si>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</si>
  <si>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</si>
  <si>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</si>
  <si>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</si>
  <si>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</si>
  <si>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</si>
  <si>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</si>
  <si>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</si>
  <si>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</si>
  <si>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</si>
  <si>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</si>
  <si>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</si>
  <si>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</si>
  <si>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</si>
  <si>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</si>
  <si>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</si>
  <si>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</si>
  <si>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</si>
  <si>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</si>
  <si>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</si>
  <si>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</si>
  <si>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</si>
  <si>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</si>
  <si>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</si>
  <si>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</si>
  <si>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</si>
  <si>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</si>
  <si>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</si>
  <si>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</si>
  <si>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</si>
  <si>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</si>
  <si>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</si>
  <si>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</si>
  <si>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</si>
  <si>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</si>
  <si>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</si>
  <si>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</si>
  <si>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</si>
  <si>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</si>
  <si>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</si>
  <si>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</si>
  <si>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</si>
  <si>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</si>
  <si>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</si>
  <si>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</si>
  <si>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</si>
  <si>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</si>
  <si>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</si>
  <si>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</si>
  <si>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</si>
  <si>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</si>
  <si>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</si>
  <si>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</si>
  <si>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</si>
  <si>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</si>
  <si>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</si>
  <si>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</si>
  <si>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</si>
  <si>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</si>
  <si>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</si>
  <si>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</si>
  <si>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</si>
  <si>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</si>
  <si>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</si>
  <si>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</si>
  <si>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</si>
  <si>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</si>
  <si>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</si>
  <si>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</si>
  <si>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</si>
  <si>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</si>
  <si>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</si>
  <si>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</si>
  <si>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</si>
  <si>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</si>
  <si>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</si>
  <si>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</si>
  <si>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</si>
  <si>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</si>
  <si>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</si>
  <si>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</si>
  <si>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</si>
  <si>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</si>
  <si>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</si>
  <si>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</si>
  <si>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</si>
  <si>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</si>
  <si>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</si>
  <si>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</si>
  <si>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</si>
  <si>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</si>
  <si>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</si>
  <si>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</si>
  <si>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</si>
  <si>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</si>
  <si>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</si>
  <si>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</si>
  <si>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</si>
  <si>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</si>
  <si>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</si>
  <si>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</si>
  <si>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</si>
  <si>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</si>
  <si>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</si>
  <si>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</si>
  <si>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</si>
  <si>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</si>
  <si>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</si>
  <si>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</si>
  <si>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</si>
  <si>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</si>
  <si>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</si>
  <si>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</si>
  <si>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</si>
  <si>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</si>
  <si>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</si>
  <si>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</si>
  <si>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</si>
  <si>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</si>
  <si>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</si>
  <si>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</si>
  <si>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</si>
  <si>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</si>
  <si>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</si>
  <si>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</si>
  <si>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</si>
  <si>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</si>
  <si>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</si>
  <si>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</si>
  <si>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</si>
  <si>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</si>
  <si>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</si>
  <si>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</si>
  <si>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</si>
  <si>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</si>
  <si>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</si>
  <si>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</si>
  <si>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</si>
  <si>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</si>
  <si>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</si>
  <si>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</si>
  <si>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</si>
  <si>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</si>
  <si>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</si>
  <si>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</si>
  <si>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</si>
  <si>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</si>
  <si>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</si>
  <si>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</si>
  <si>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</si>
  <si>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</si>
  <si>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</si>
  <si>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</si>
  <si>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</si>
  <si>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</si>
  <si>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</si>
  <si>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</si>
  <si>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</si>
  <si>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</si>
  <si>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</si>
  <si>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</si>
  <si>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</si>
  <si>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</si>
  <si>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</si>
  <si>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</si>
  <si>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</si>
  <si>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</si>
  <si>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</si>
  <si>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</si>
  <si>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</si>
  <si>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</si>
  <si>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</si>
  <si>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</si>
  <si>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</si>
  <si>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</si>
  <si>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</si>
  <si>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</si>
  <si>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</si>
  <si>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</si>
  <si>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</si>
  <si>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</si>
  <si>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</si>
  <si>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</si>
  <si>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</si>
  <si>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</si>
  <si>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</si>
  <si>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</si>
  <si>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</si>
  <si>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</si>
  <si>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</si>
  <si>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</si>
  <si>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</si>
  <si>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</si>
  <si>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</si>
  <si>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</si>
  <si>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</si>
  <si>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</si>
  <si>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</si>
  <si>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</si>
  <si>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</si>
  <si>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</si>
  <si>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</si>
  <si>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</si>
  <si>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</si>
  <si>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</si>
  <si>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</si>
  <si>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</si>
  <si>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</si>
  <si>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</si>
  <si>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</si>
  <si>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</si>
  <si>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</si>
  <si>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</si>
  <si>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</si>
  <si>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</si>
  <si>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</si>
  <si>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</si>
  <si>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</si>
  <si>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</si>
  <si>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</si>
  <si>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</si>
  <si>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</si>
  <si>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</si>
  <si>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</si>
  <si>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</si>
  <si>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</si>
  <si>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</si>
  <si>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</si>
  <si>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</si>
  <si>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</si>
  <si>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</si>
  <si>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</si>
  <si>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</si>
  <si>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</si>
  <si>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</si>
  <si>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</si>
  <si>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</si>
  <si>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</si>
  <si>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</si>
  <si>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</si>
  <si>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</si>
  <si>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</si>
  <si>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</si>
  <si>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</si>
  <si>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</si>
  <si>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</si>
  <si>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</si>
  <si>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</si>
  <si>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</si>
  <si>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</si>
  <si>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</si>
  <si>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</si>
  <si>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</si>
  <si>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</si>
  <si>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</si>
  <si>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</si>
  <si>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</si>
  <si>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</si>
  <si>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</si>
  <si>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</si>
  <si>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</si>
  <si>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</si>
  <si>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</si>
  <si>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</si>
  <si>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</si>
  <si>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</si>
  <si>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</si>
  <si>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</si>
  <si>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</si>
  <si>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</si>
  <si>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</si>
  <si>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</si>
  <si>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</si>
  <si>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</si>
  <si>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</si>
  <si>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</si>
  <si>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</si>
  <si>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</si>
  <si>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</si>
  <si>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</si>
  <si>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</si>
  <si>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</si>
  <si>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</si>
  <si>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</si>
  <si>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</si>
  <si>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</si>
  <si>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</si>
  <si>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</si>
  <si>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</si>
  <si>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</si>
  <si>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</si>
  <si>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</si>
  <si>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</si>
  <si>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</si>
  <si>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</si>
  <si>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</si>
  <si>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</si>
  <si>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</si>
  <si>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</si>
  <si>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</si>
  <si>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</si>
  <si>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</si>
  <si>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</si>
  <si>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</si>
  <si>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</si>
  <si>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</si>
  <si>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</si>
  <si>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</si>
  <si>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</si>
  <si>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</si>
  <si>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</si>
  <si>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</si>
  <si>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</si>
  <si>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</si>
  <si>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</si>
  <si>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</si>
  <si>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</si>
  <si>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</si>
  <si>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</si>
  <si>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</si>
  <si>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</si>
  <si>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</si>
  <si>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</si>
  <si>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</si>
  <si>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</si>
  <si>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</si>
  <si>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</si>
  <si>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</si>
  <si>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</si>
  <si>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</si>
  <si>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</si>
  <si>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</si>
  <si>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</si>
  <si>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</si>
  <si>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</si>
  <si>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</si>
  <si>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</si>
  <si>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</si>
  <si>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</si>
  <si>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</si>
  <si>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</si>
  <si>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</si>
  <si>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</si>
  <si>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</si>
  <si>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</si>
  <si>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</si>
  <si>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</si>
  <si>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</si>
  <si>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</si>
  <si>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</si>
  <si>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</si>
  <si>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</si>
  <si>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</si>
  <si>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</si>
  <si>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</si>
  <si>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</si>
  <si>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</si>
  <si>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</si>
  <si>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</si>
  <si>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</si>
  <si>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</si>
  <si>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</si>
  <si>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</si>
  <si>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</si>
  <si>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</si>
  <si>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</si>
  <si>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</si>
  <si>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</si>
  <si>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</si>
  <si>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</si>
  <si>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</si>
  <si>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</si>
  <si>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</si>
  <si>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</si>
  <si>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</si>
  <si>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</si>
  <si>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</si>
  <si>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</si>
  <si>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</si>
  <si>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</si>
  <si>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</si>
  <si>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</si>
  <si>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</si>
  <si>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</si>
  <si>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</si>
  <si>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</si>
  <si>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</si>
  <si>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</si>
  <si>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</si>
  <si>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</si>
  <si>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</si>
  <si>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</si>
  <si>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</si>
  <si>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</si>
  <si>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</si>
  <si>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</si>
  <si>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</si>
  <si>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</si>
  <si>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</si>
  <si>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</si>
  <si>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</si>
  <si>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</si>
  <si>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</si>
  <si>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</si>
  <si>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</si>
  <si>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</si>
  <si>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</si>
  <si>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</si>
  <si>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</si>
  <si>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</si>
  <si>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</si>
  <si>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</si>
  <si>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</si>
  <si>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</si>
  <si>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</si>
  <si>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</si>
  <si>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</si>
  <si>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</si>
  <si>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</si>
  <si>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</si>
  <si>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</si>
  <si>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</si>
  <si>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</si>
  <si>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</si>
  <si>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</si>
  <si>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</si>
  <si>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</si>
  <si>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</si>
  <si>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</si>
  <si>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</si>
  <si>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</si>
  <si>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</si>
  <si>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</si>
  <si>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</si>
  <si>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</si>
  <si>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</si>
  <si>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</si>
  <si>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</si>
  <si>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</si>
  <si>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</si>
  <si>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</si>
  <si>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</si>
  <si>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</si>
  <si>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</si>
  <si>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</si>
  <si>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</si>
  <si>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</si>
  <si>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</si>
  <si>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</si>
  <si>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</si>
  <si>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</si>
  <si>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</si>
  <si>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</si>
  <si>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</si>
  <si>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</si>
  <si>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</si>
  <si>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</si>
  <si>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</si>
  <si>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</si>
  <si>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</si>
  <si>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</si>
  <si>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</si>
  <si>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</si>
  <si>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</si>
  <si>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</si>
  <si>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</si>
  <si>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</si>
  <si>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</si>
  <si>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</si>
  <si>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</si>
  <si>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</si>
  <si>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</si>
  <si>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</si>
  <si>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</si>
  <si>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</si>
  <si>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</si>
  <si>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</si>
  <si>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</si>
  <si>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</si>
  <si>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</si>
  <si>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</si>
  <si>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</si>
  <si>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</si>
  <si>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</si>
  <si>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</si>
  <si>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</si>
  <si>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</si>
  <si>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</si>
  <si>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</si>
  <si>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</si>
  <si>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</si>
  <si>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</si>
  <si>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</si>
  <si>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</si>
  <si>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</si>
  <si>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</si>
  <si>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</si>
  <si>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</si>
  <si>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</si>
  <si>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</si>
  <si>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</si>
  <si>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</si>
  <si>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</si>
  <si>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</si>
  <si>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</si>
  <si>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</si>
  <si>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</si>
  <si>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</si>
  <si>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</si>
  <si>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</si>
  <si>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</si>
  <si>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</si>
  <si>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</si>
  <si>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</si>
  <si>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</si>
  <si>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</si>
  <si>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</si>
  <si>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</si>
  <si>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</si>
  <si>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</si>
  <si>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</si>
  <si>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</si>
  <si>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</si>
  <si>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</si>
  <si>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</si>
  <si>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</si>
  <si>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</si>
  <si>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</si>
  <si>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</si>
  <si>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</si>
  <si>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</si>
  <si>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</si>
  <si>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</si>
  <si>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</si>
  <si>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</si>
  <si>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</si>
  <si>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</si>
  <si>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</si>
  <si>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</si>
  <si>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</si>
  <si>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</si>
  <si>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</si>
  <si>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</si>
  <si>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</si>
  <si>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</si>
  <si>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</si>
  <si>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</si>
  <si>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</si>
  <si>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</si>
  <si>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</si>
  <si>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</si>
  <si>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</si>
  <si>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</si>
  <si>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</si>
  <si>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</si>
  <si>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</si>
  <si>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</si>
  <si>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</si>
  <si>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</si>
  <si>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</si>
  <si>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</si>
  <si>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</si>
  <si>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</si>
  <si>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</si>
  <si>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</si>
  <si>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</si>
  <si>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</si>
  <si>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</si>
  <si>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</si>
  <si>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</si>
  <si>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</si>
  <si>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</si>
  <si>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</si>
  <si>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</si>
  <si>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</si>
  <si>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</si>
  <si>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</si>
  <si>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</si>
  <si>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</si>
  <si>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</si>
  <si>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</si>
  <si>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</si>
  <si>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</si>
  <si>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</si>
  <si>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</si>
  <si>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</si>
  <si>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</si>
  <si>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</si>
  <si>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</si>
  <si>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</si>
  <si>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</si>
  <si>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</si>
  <si>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</si>
  <si>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</si>
  <si>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</si>
  <si>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</si>
  <si>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</si>
  <si>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</si>
  <si>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</si>
  <si>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</si>
  <si>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</si>
  <si>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</si>
  <si>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</si>
  <si>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</si>
  <si>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</si>
  <si>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</si>
  <si>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</si>
  <si>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</si>
  <si>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</si>
  <si>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</si>
  <si>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</si>
  <si>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</si>
  <si>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</si>
  <si>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</si>
  <si>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</si>
  <si>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</si>
  <si>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</si>
  <si>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</si>
  <si>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</si>
  <si>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</si>
  <si>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</si>
  <si>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</si>
  <si>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</si>
  <si>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</si>
  <si>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</si>
  <si>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</si>
  <si>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</si>
  <si>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</si>
  <si>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</si>
  <si>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</si>
  <si>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</si>
  <si>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</si>
  <si>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</si>
  <si>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</si>
  <si>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</si>
  <si>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</si>
  <si>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</si>
  <si>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</si>
  <si>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</si>
  <si>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</si>
  <si>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</si>
  <si>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</si>
  <si>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</si>
  <si>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</si>
  <si>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</si>
  <si>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</si>
  <si>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</si>
  <si>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</si>
  <si>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</si>
  <si>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</si>
  <si>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</si>
  <si>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</si>
  <si>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</si>
  <si>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</si>
  <si>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</si>
  <si>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</si>
  <si>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</si>
  <si>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</si>
  <si>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</si>
  <si>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</si>
  <si>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</si>
  <si>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</si>
  <si>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</si>
  <si>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</si>
  <si>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</si>
  <si>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</si>
  <si>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</si>
  <si>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</si>
  <si>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</si>
  <si>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</si>
  <si>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</si>
  <si>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</si>
  <si>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</si>
  <si>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</si>
  <si>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</si>
  <si>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</si>
  <si>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</si>
  <si>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</si>
  <si>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</si>
  <si>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</si>
  <si>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</si>
  <si>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</si>
  <si>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</si>
  <si>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</si>
  <si>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</si>
  <si>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</si>
  <si>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</si>
  <si>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</si>
  <si>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</si>
  <si>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</si>
  <si>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</si>
  <si>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</si>
  <si>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</si>
  <si>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</si>
  <si>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</si>
  <si>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</si>
  <si>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</si>
  <si>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</si>
  <si>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</si>
  <si>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</si>
  <si>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</si>
  <si>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</si>
  <si>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</si>
  <si>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</si>
  <si>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</si>
  <si>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</si>
  <si>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</si>
  <si>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</si>
  <si>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</si>
  <si>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</si>
  <si>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</si>
  <si>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</si>
  <si>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</si>
  <si>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</si>
  <si>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</si>
  <si>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</si>
  <si>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</si>
  <si>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</si>
  <si>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</si>
  <si>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</si>
  <si>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</si>
  <si>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</si>
  <si>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</si>
  <si>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</si>
  <si>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</si>
  <si>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</si>
  <si>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</si>
  <si>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</si>
  <si>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</si>
  <si>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</si>
  <si>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</si>
  <si>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</si>
  <si>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</si>
  <si>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</si>
  <si>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</si>
  <si>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</si>
  <si>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</si>
  <si>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</si>
  <si>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</si>
  <si>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</si>
  <si>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</si>
  <si>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</si>
  <si>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</si>
  <si>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</si>
  <si>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</si>
  <si>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</si>
  <si>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</si>
  <si>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</si>
  <si>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</si>
  <si>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</si>
  <si>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</si>
  <si>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</si>
  <si>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</si>
  <si>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</si>
  <si>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</si>
  <si>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</si>
  <si>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</si>
  <si>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</si>
  <si>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</si>
  <si>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</si>
  <si>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</si>
  <si>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FARMINGTON</t>
  </si>
  <si>
    <t>02/2013</t>
  </si>
  <si>
    <t>08/2018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</si>
</sst>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175</v>
      </c>
      <c r="C2" s="21">
        <v>175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1718772.51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371918.16</v>
      </c>
      <c r="G12" s="18"/>
      <c r="H12" s="18"/>
      <c r="I12" s="18"/>
      <c r="J12" s="67">
        <f>SUM(I441)</f>
        <v>122455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732757.86+116773</f>
        <v>849530.86</v>
      </c>
      <c r="G13" s="18"/>
      <c r="H13" s="18">
        <v>50490.34</v>
      </c>
      <c r="I13" s="18"/>
      <c r="J13" s="67">
        <f>SUM(I442)</f>
        <v>1751824.9500000002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329.23</v>
      </c>
      <c r="G14" s="18">
        <v>41221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8">
        <v>38591.050000000003</v>
      </c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2940550.76</v>
      </c>
      <c r="G19" s="41">
        <f>SUM(G9:G18)</f>
        <v>41221</v>
      </c>
      <c r="H19" s="41">
        <f>SUM(H9:H18)</f>
        <v>89081.39</v>
      </c>
      <c r="I19" s="41">
        <f>SUM(I9:I18)</f>
        <v>0</v>
      </c>
      <c r="J19" s="41">
        <f>SUM(J9:J18)</f>
        <v>1874279.9500000002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762515.73</v>
      </c>
      <c r="G24" s="18">
        <v>13718.25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546563.29+6739.04</f>
        <v>553302.33000000007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91316.31+86610.92+5755.82+152026.08</f>
        <v>335709.13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1651527.19</v>
      </c>
      <c r="G32" s="41">
        <f>SUM(G22:G31)</f>
        <v>13718.25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115971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27502.75</v>
      </c>
      <c r="H48" s="18">
        <v>38591.050000000003</v>
      </c>
      <c r="I48" s="18"/>
      <c r="J48" s="13">
        <f>SUM(I459)</f>
        <v>1874279.9500000002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209613.33</v>
      </c>
      <c r="G49" s="18"/>
      <c r="H49" s="18">
        <v>50490.34</v>
      </c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963439.24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1289023.5699999998</v>
      </c>
      <c r="G51" s="41">
        <f>SUM(G35:G50)</f>
        <v>27502.75</v>
      </c>
      <c r="H51" s="41">
        <f>SUM(H35:H50)</f>
        <v>89081.39</v>
      </c>
      <c r="I51" s="41">
        <f>SUM(I35:I50)</f>
        <v>0</v>
      </c>
      <c r="J51" s="41">
        <f>SUM(J35:J50)</f>
        <v>1874279.9500000002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2940550.76</v>
      </c>
      <c r="G52" s="41">
        <f>G51+G32</f>
        <v>41221</v>
      </c>
      <c r="H52" s="41">
        <f>H51+H32</f>
        <v>89081.39</v>
      </c>
      <c r="I52" s="41">
        <f>I51+I32</f>
        <v>0</v>
      </c>
      <c r="J52" s="41">
        <f>J51+J32</f>
        <v>1874279.9500000002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4638860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4638860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>
        <v>10175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1670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10871+40764.9+84247.46+1649619.62+973707.3</f>
        <v>2759210.2800000003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2760880.2800000003</v>
      </c>
      <c r="G79" s="45" t="s">
        <v>289</v>
      </c>
      <c r="H79" s="41">
        <f>SUM(H63:H78)</f>
        <v>10175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17783.490000000002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17783.490000000002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33553.16+69836.52+57362.22+1125.58</f>
        <v>161877.48000000001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3537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260</v>
      </c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1300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3813.88</v>
      </c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71408.13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10394.200000000001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217.5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90930.71</v>
      </c>
      <c r="G111" s="41">
        <f>SUM(G96:G110)</f>
        <v>161877.48000000001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7508454.4800000004</v>
      </c>
      <c r="G112" s="41">
        <f>G60+G111</f>
        <v>161877.48000000001</v>
      </c>
      <c r="H112" s="41">
        <f>H60+H79+H94+H111</f>
        <v>10175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6460173.3399999999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945356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7405529.3399999999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132755.65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17544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1916+2986.25+1678.8</f>
        <v>6581.05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150299.65</v>
      </c>
      <c r="G136" s="41">
        <f>SUM(G123:G135)</f>
        <v>6581.05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7555828.9900000002</v>
      </c>
      <c r="G140" s="41">
        <f>G121+SUM(G136:G137)</f>
        <v>6581.05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v>21577.69</v>
      </c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77702.87</v>
      </c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77702.87</v>
      </c>
      <c r="G147" s="41">
        <f>SUM(G145:G146)</f>
        <v>0</v>
      </c>
      <c r="H147" s="41">
        <f>SUM(H145:H146)</f>
        <v>21577.69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>
        <f>17470.87+143237.03</f>
        <v>160707.9</v>
      </c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152308.28+22653+328691.4+9876.94+9999.99+31775+8944.42+2094.32+85475.17+30286.22+34697.27+2028.04+91876.96+942.33</f>
        <v>811649.34000000008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29625.75+27631.15</f>
        <v>57256.9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58688.17+96771.33+52373.61+14601.06+20669.05+17842.58</f>
        <v>260945.8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64877.23+216702.72+5716.28+12194.43</f>
        <v>299490.66000000003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170755.84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f>1792.82+19191.06+5748.28+26038.01</f>
        <v>52770.17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170755.84</v>
      </c>
      <c r="G162" s="41">
        <f>SUM(G150:G161)</f>
        <v>313715.96999999997</v>
      </c>
      <c r="H162" s="41">
        <f>SUM(H150:H161)</f>
        <v>1329104.8000000003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248458.71</v>
      </c>
      <c r="G169" s="41">
        <f>G147+G162+SUM(G163:G168)</f>
        <v>313715.96999999997</v>
      </c>
      <c r="H169" s="41">
        <f>H147+H162+SUM(H163:H168)</f>
        <v>1350682.4900000002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2154.3000000000002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2154.3000000000002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2154.3000000000002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15312742.180000002</v>
      </c>
      <c r="G193" s="47">
        <f>G112+G140+G169+G192</f>
        <v>484328.8</v>
      </c>
      <c r="H193" s="47">
        <f>H112+H140+H169+H192</f>
        <v>1360857.4900000002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2345273.62+49757.62</f>
        <v>2395031.2400000002</v>
      </c>
      <c r="G197" s="18">
        <f>1018269.01+7461.99</f>
        <v>1025731</v>
      </c>
      <c r="H197" s="18">
        <f>57014.58+1547.7</f>
        <v>58562.28</v>
      </c>
      <c r="I197" s="18">
        <v>101002.86</v>
      </c>
      <c r="J197" s="18">
        <v>2749.17</v>
      </c>
      <c r="K197" s="18"/>
      <c r="L197" s="19">
        <f>SUM(F197:K197)</f>
        <v>3583076.55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1455993.2+841.5</f>
        <v>1456834.7</v>
      </c>
      <c r="G198" s="18">
        <f>385682.4+5299.73+364.88</f>
        <v>391347.01</v>
      </c>
      <c r="H198" s="18">
        <f>410734.45+72026.02+4561.92</f>
        <v>487322.39</v>
      </c>
      <c r="I198" s="18">
        <f>8949.08+552.47</f>
        <v>9501.5499999999993</v>
      </c>
      <c r="J198" s="18">
        <f>1198.9</f>
        <v>1198.9000000000001</v>
      </c>
      <c r="K198" s="18">
        <f>200+11317.78</f>
        <v>11517.78</v>
      </c>
      <c r="L198" s="19">
        <f>SUM(F198:K198)</f>
        <v>2357722.3299999996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115937.76+1221</f>
        <v>117158.76</v>
      </c>
      <c r="G200" s="18">
        <f>34185.43+98.65</f>
        <v>34284.080000000002</v>
      </c>
      <c r="H200" s="18">
        <v>2715</v>
      </c>
      <c r="I200" s="18">
        <v>3207.3</v>
      </c>
      <c r="J200" s="18"/>
      <c r="K200" s="18"/>
      <c r="L200" s="19">
        <f>SUM(F200:K200)</f>
        <v>157365.13999999998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262078.45+217986.78</f>
        <v>480065.23</v>
      </c>
      <c r="G202" s="18">
        <f>130102.18+95766.24</f>
        <v>225868.41999999998</v>
      </c>
      <c r="H202" s="18">
        <f>61096.29+60748.01</f>
        <v>121844.3</v>
      </c>
      <c r="I202" s="18">
        <f>768.62+4836.8</f>
        <v>5605.42</v>
      </c>
      <c r="J202" s="18">
        <v>651.41</v>
      </c>
      <c r="K202" s="18"/>
      <c r="L202" s="19">
        <f t="shared" ref="L202:L208" si="0">SUM(F202:K202)</f>
        <v>834034.78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91167.2</v>
      </c>
      <c r="G203" s="18">
        <v>48453.48</v>
      </c>
      <c r="H203" s="18">
        <f>5121.5+5.8</f>
        <v>5127.3</v>
      </c>
      <c r="I203" s="18">
        <f>11546.38+9266.49</f>
        <v>20812.87</v>
      </c>
      <c r="J203" s="18"/>
      <c r="K203" s="18">
        <v>838.21</v>
      </c>
      <c r="L203" s="19">
        <f t="shared" si="0"/>
        <v>166399.05999999997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10886.87</v>
      </c>
      <c r="G204" s="18">
        <v>1581.16</v>
      </c>
      <c r="H204" s="18">
        <v>654642.72</v>
      </c>
      <c r="I204" s="18"/>
      <c r="J204" s="18"/>
      <c r="K204" s="18">
        <v>3628.48</v>
      </c>
      <c r="L204" s="19">
        <f t="shared" si="0"/>
        <v>670739.23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421650.36+2462.23</f>
        <v>424112.58999999997</v>
      </c>
      <c r="G205" s="18">
        <f>213923.1+558.12</f>
        <v>214481.22</v>
      </c>
      <c r="H205" s="18">
        <v>26837.56</v>
      </c>
      <c r="I205" s="18">
        <v>3350.79</v>
      </c>
      <c r="J205" s="18">
        <v>2974.4</v>
      </c>
      <c r="K205" s="18">
        <v>1804</v>
      </c>
      <c r="L205" s="19">
        <f t="shared" si="0"/>
        <v>673560.56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512.49</v>
      </c>
      <c r="I206" s="18"/>
      <c r="J206" s="18"/>
      <c r="K206" s="18"/>
      <c r="L206" s="19">
        <f t="shared" si="0"/>
        <v>512.49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215822.89+72483.69</f>
        <v>288306.58</v>
      </c>
      <c r="G207" s="18">
        <f>113357.76+35312.46</f>
        <v>148670.22</v>
      </c>
      <c r="H207" s="18">
        <f>100846.74+63701.91</f>
        <v>164548.65000000002</v>
      </c>
      <c r="I207" s="18">
        <f>291328.04+11055.97</f>
        <v>302384.00999999995</v>
      </c>
      <c r="J207" s="18">
        <v>8075.63</v>
      </c>
      <c r="K207" s="18">
        <v>163.68</v>
      </c>
      <c r="L207" s="19">
        <f t="shared" si="0"/>
        <v>912148.77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4993.02+137298.36</f>
        <v>142291.37999999998</v>
      </c>
      <c r="G208" s="18">
        <f>926.11+57408.68</f>
        <v>58334.79</v>
      </c>
      <c r="H208" s="18">
        <v>91116.92</v>
      </c>
      <c r="I208" s="18">
        <f>1072.9+38030.24</f>
        <v>39103.14</v>
      </c>
      <c r="J208" s="18">
        <v>4512.2</v>
      </c>
      <c r="K208" s="18">
        <v>973.08</v>
      </c>
      <c r="L208" s="19">
        <f t="shared" si="0"/>
        <v>336331.51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86548.160000000003</v>
      </c>
      <c r="G209" s="18">
        <v>42616.480000000003</v>
      </c>
      <c r="H209" s="18">
        <v>26787.15</v>
      </c>
      <c r="I209" s="18">
        <v>24866.32</v>
      </c>
      <c r="J209" s="18">
        <v>43815.47</v>
      </c>
      <c r="K209" s="18"/>
      <c r="L209" s="19">
        <f>SUM(F209:K209)</f>
        <v>224633.58000000002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5492402.71</v>
      </c>
      <c r="G211" s="41">
        <f t="shared" si="1"/>
        <v>2191367.86</v>
      </c>
      <c r="H211" s="41">
        <f t="shared" si="1"/>
        <v>1640016.7600000002</v>
      </c>
      <c r="I211" s="41">
        <f t="shared" si="1"/>
        <v>509834.25999999995</v>
      </c>
      <c r="J211" s="41">
        <f t="shared" si="1"/>
        <v>63977.180000000008</v>
      </c>
      <c r="K211" s="41">
        <f t="shared" si="1"/>
        <v>18925.230000000003</v>
      </c>
      <c r="L211" s="41">
        <f t="shared" si="1"/>
        <v>9916523.9999999981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1256883.4+25632.72</f>
        <v>1282516.1199999999</v>
      </c>
      <c r="G233" s="18">
        <f>478442.07+3844.05</f>
        <v>482286.12</v>
      </c>
      <c r="H233" s="18">
        <f>42821.64+797.3</f>
        <v>43618.94</v>
      </c>
      <c r="I233" s="18">
        <v>97131.42</v>
      </c>
      <c r="J233" s="18">
        <v>5118.74</v>
      </c>
      <c r="K233" s="18"/>
      <c r="L233" s="19">
        <f>SUM(F233:K233)</f>
        <v>1910671.3399999996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313718.63+433.5</f>
        <v>314152.13</v>
      </c>
      <c r="G234" s="18">
        <f>100609.45+2730.16+187.97</f>
        <v>103527.58</v>
      </c>
      <c r="H234" s="18">
        <f>496219.08+37104.32+2350.08</f>
        <v>535673.48</v>
      </c>
      <c r="I234" s="18">
        <f>478.4+284.61</f>
        <v>763.01</v>
      </c>
      <c r="J234" s="18"/>
      <c r="K234" s="18">
        <v>5830.37</v>
      </c>
      <c r="L234" s="19">
        <f>SUM(F234:K234)</f>
        <v>959946.57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108125.48</v>
      </c>
      <c r="I235" s="18"/>
      <c r="J235" s="18"/>
      <c r="K235" s="18"/>
      <c r="L235" s="19">
        <f>SUM(F235:K235)</f>
        <v>108125.48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74197.5+629</f>
        <v>74826.5</v>
      </c>
      <c r="G236" s="18">
        <f>8879.33+50.82</f>
        <v>8930.15</v>
      </c>
      <c r="H236" s="18">
        <v>23136.799999999999</v>
      </c>
      <c r="I236" s="18">
        <v>7472.21</v>
      </c>
      <c r="J236" s="18"/>
      <c r="K236" s="18">
        <v>2765</v>
      </c>
      <c r="L236" s="19">
        <f>SUM(F236:K236)</f>
        <v>117130.66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190791.6+112296.22</f>
        <v>303087.82</v>
      </c>
      <c r="G238" s="18">
        <f>77523.26+49334.13</f>
        <v>126857.38999999998</v>
      </c>
      <c r="H238" s="18">
        <f>322.63+31294.43</f>
        <v>31617.06</v>
      </c>
      <c r="I238" s="18">
        <f>1709.29+2491.69</f>
        <v>4200.9799999999996</v>
      </c>
      <c r="J238" s="18">
        <v>335.58</v>
      </c>
      <c r="K238" s="18">
        <v>360</v>
      </c>
      <c r="L238" s="19">
        <f t="shared" ref="L238:L244" si="4">SUM(F238:K238)</f>
        <v>466458.82999999996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55240</v>
      </c>
      <c r="G239" s="18">
        <v>29701.63</v>
      </c>
      <c r="H239" s="18">
        <f>4924.99+2.99</f>
        <v>4927.9799999999996</v>
      </c>
      <c r="I239" s="18">
        <f>13217.67+4773.64</f>
        <v>17991.310000000001</v>
      </c>
      <c r="J239" s="18"/>
      <c r="K239" s="18">
        <v>656.48</v>
      </c>
      <c r="L239" s="19">
        <f t="shared" si="4"/>
        <v>108517.4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5608.39</v>
      </c>
      <c r="G240" s="18">
        <v>814.53</v>
      </c>
      <c r="H240" s="18">
        <v>337240.19</v>
      </c>
      <c r="I240" s="18"/>
      <c r="J240" s="18"/>
      <c r="K240" s="18">
        <v>1869.21</v>
      </c>
      <c r="L240" s="19">
        <f t="shared" si="4"/>
        <v>345532.32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215789.11+1268.42</f>
        <v>217057.53</v>
      </c>
      <c r="G241" s="18">
        <f>116247.6+287.52</f>
        <v>116535.12000000001</v>
      </c>
      <c r="H241" s="18">
        <v>11392.71</v>
      </c>
      <c r="I241" s="18">
        <v>1051.72</v>
      </c>
      <c r="J241" s="18">
        <v>1912.05</v>
      </c>
      <c r="K241" s="18">
        <v>3520.66</v>
      </c>
      <c r="L241" s="19">
        <f t="shared" si="4"/>
        <v>351469.79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>
        <v>264</v>
      </c>
      <c r="I242" s="18"/>
      <c r="J242" s="18"/>
      <c r="K242" s="18"/>
      <c r="L242" s="19">
        <f t="shared" si="4"/>
        <v>264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119037.63+37340.09</f>
        <v>156377.72</v>
      </c>
      <c r="G243" s="18">
        <f>65046.97+18191.26</f>
        <v>83238.23</v>
      </c>
      <c r="H243" s="18">
        <f>63378.9+32816.14</f>
        <v>96195.040000000008</v>
      </c>
      <c r="I243" s="18">
        <f>156208.4+5695.5</f>
        <v>161903.9</v>
      </c>
      <c r="J243" s="18">
        <v>6867.16</v>
      </c>
      <c r="K243" s="18">
        <v>84.32</v>
      </c>
      <c r="L243" s="19">
        <f t="shared" si="4"/>
        <v>504666.37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37955.28+70729.46</f>
        <v>108684.74</v>
      </c>
      <c r="G244" s="18">
        <f>8290.05+29574.17</f>
        <v>37864.22</v>
      </c>
      <c r="H244" s="18">
        <v>46939.02</v>
      </c>
      <c r="I244" s="18">
        <f>3870.39+19591.34</f>
        <v>23461.73</v>
      </c>
      <c r="J244" s="18">
        <v>2324.46</v>
      </c>
      <c r="K244" s="18">
        <v>501.28</v>
      </c>
      <c r="L244" s="19">
        <f t="shared" si="4"/>
        <v>219775.45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44585.42</v>
      </c>
      <c r="G245" s="18">
        <v>21953.94</v>
      </c>
      <c r="H245" s="18">
        <v>13799.44</v>
      </c>
      <c r="I245" s="18">
        <v>12809.92</v>
      </c>
      <c r="J245" s="18">
        <v>22571.61</v>
      </c>
      <c r="K245" s="18"/>
      <c r="L245" s="19">
        <f>SUM(F245:K245)</f>
        <v>115720.33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2562136.37</v>
      </c>
      <c r="G247" s="41">
        <f t="shared" si="5"/>
        <v>1011708.9099999999</v>
      </c>
      <c r="H247" s="41">
        <f t="shared" si="5"/>
        <v>1252930.1399999999</v>
      </c>
      <c r="I247" s="41">
        <f t="shared" si="5"/>
        <v>326786.19999999995</v>
      </c>
      <c r="J247" s="41">
        <f t="shared" si="5"/>
        <v>39129.599999999999</v>
      </c>
      <c r="K247" s="41">
        <f t="shared" si="5"/>
        <v>15587.319999999998</v>
      </c>
      <c r="L247" s="41">
        <f t="shared" si="5"/>
        <v>5208278.54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8054539.0800000001</v>
      </c>
      <c r="G257" s="41">
        <f t="shared" si="8"/>
        <v>3203076.7699999996</v>
      </c>
      <c r="H257" s="41">
        <f t="shared" si="8"/>
        <v>2892946.9000000004</v>
      </c>
      <c r="I257" s="41">
        <f t="shared" si="8"/>
        <v>836620.46</v>
      </c>
      <c r="J257" s="41">
        <f t="shared" si="8"/>
        <v>103106.78</v>
      </c>
      <c r="K257" s="41">
        <f t="shared" si="8"/>
        <v>34512.550000000003</v>
      </c>
      <c r="L257" s="41">
        <f t="shared" si="8"/>
        <v>15124802.539999999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2154.3000000000002</v>
      </c>
      <c r="L263" s="19">
        <f>SUM(F263:K263)</f>
        <v>2154.3000000000002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2154.3000000000002</v>
      </c>
      <c r="L270" s="41">
        <f t="shared" si="9"/>
        <v>2154.3000000000002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8054539.0800000001</v>
      </c>
      <c r="G271" s="42">
        <f t="shared" si="11"/>
        <v>3203076.7699999996</v>
      </c>
      <c r="H271" s="42">
        <f t="shared" si="11"/>
        <v>2892946.9000000004</v>
      </c>
      <c r="I271" s="42">
        <f t="shared" si="11"/>
        <v>836620.46</v>
      </c>
      <c r="J271" s="42">
        <f t="shared" si="11"/>
        <v>103106.78</v>
      </c>
      <c r="K271" s="42">
        <f t="shared" si="11"/>
        <v>36666.850000000006</v>
      </c>
      <c r="L271" s="42">
        <f t="shared" si="11"/>
        <v>15126956.84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8981.58</v>
      </c>
      <c r="J276" s="18">
        <f>30125+13135.98</f>
        <v>43260.979999999996</v>
      </c>
      <c r="K276" s="18"/>
      <c r="L276" s="19">
        <f>SUM(F276:K276)</f>
        <v>52242.559999999998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338503.67</v>
      </c>
      <c r="G277" s="18">
        <v>80013.7</v>
      </c>
      <c r="H277" s="18">
        <f>106.85+8755.67</f>
        <v>8862.52</v>
      </c>
      <c r="I277" s="18">
        <f>2273.26+2163.01</f>
        <v>4436.2700000000004</v>
      </c>
      <c r="J277" s="18">
        <v>5464.29</v>
      </c>
      <c r="K277" s="18"/>
      <c r="L277" s="19">
        <f>SUM(F277:K277)</f>
        <v>437280.45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>
        <v>8944.42</v>
      </c>
      <c r="I278" s="18"/>
      <c r="J278" s="18"/>
      <c r="K278" s="18"/>
      <c r="L278" s="19">
        <f>SUM(F278:K278)</f>
        <v>8944.42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44101.2</v>
      </c>
      <c r="I281" s="18"/>
      <c r="J281" s="18"/>
      <c r="K281" s="18"/>
      <c r="L281" s="19">
        <f t="shared" ref="L281:L287" si="12">SUM(F281:K281)</f>
        <v>44101.2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33856.56+21380.26</f>
        <v>55236.819999999992</v>
      </c>
      <c r="G282" s="18">
        <f>7430.96+4482.32</f>
        <v>11913.279999999999</v>
      </c>
      <c r="H282" s="18">
        <f>72851.43+18102.05</f>
        <v>90953.48</v>
      </c>
      <c r="I282" s="18">
        <f>1258.55</f>
        <v>1258.55</v>
      </c>
      <c r="J282" s="18">
        <v>4043.3</v>
      </c>
      <c r="K282" s="18">
        <f>51.25+33</f>
        <v>84.25</v>
      </c>
      <c r="L282" s="19">
        <f t="shared" si="12"/>
        <v>163489.67999999996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37851.370000000003</v>
      </c>
      <c r="G283" s="18">
        <v>21537.72</v>
      </c>
      <c r="H283" s="18"/>
      <c r="I283" s="18"/>
      <c r="J283" s="18"/>
      <c r="K283" s="18"/>
      <c r="L283" s="19">
        <f t="shared" si="12"/>
        <v>59389.090000000004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2177.8000000000002</v>
      </c>
      <c r="G287" s="18">
        <v>278.94</v>
      </c>
      <c r="H287" s="18">
        <v>1908.71</v>
      </c>
      <c r="I287" s="18">
        <v>1059.97</v>
      </c>
      <c r="J287" s="18"/>
      <c r="K287" s="18"/>
      <c r="L287" s="19">
        <f t="shared" si="12"/>
        <v>5425.420000000001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433769.66</v>
      </c>
      <c r="G290" s="42">
        <f t="shared" si="13"/>
        <v>113743.64</v>
      </c>
      <c r="H290" s="42">
        <f t="shared" si="13"/>
        <v>154770.32999999999</v>
      </c>
      <c r="I290" s="42">
        <f t="shared" si="13"/>
        <v>15736.369999999999</v>
      </c>
      <c r="J290" s="42">
        <f t="shared" si="13"/>
        <v>52768.57</v>
      </c>
      <c r="K290" s="42">
        <f t="shared" si="13"/>
        <v>84.25</v>
      </c>
      <c r="L290" s="41">
        <f t="shared" si="13"/>
        <v>770872.82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3760.48</v>
      </c>
      <c r="J314" s="18">
        <f>19670.2+6767.02</f>
        <v>26437.22</v>
      </c>
      <c r="K314" s="18"/>
      <c r="L314" s="19">
        <f>SUM(F314:K314)</f>
        <v>30197.7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44308.45</v>
      </c>
      <c r="G315" s="18">
        <v>3571.94</v>
      </c>
      <c r="H315" s="18">
        <v>4510.5</v>
      </c>
      <c r="I315" s="18">
        <f>6662.19+1114.28</f>
        <v>7776.4699999999993</v>
      </c>
      <c r="J315" s="18"/>
      <c r="K315" s="18"/>
      <c r="L315" s="19">
        <f>SUM(F315:K315)</f>
        <v>60167.360000000001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f>12870+22718.8</f>
        <v>35588.800000000003</v>
      </c>
      <c r="I319" s="18"/>
      <c r="J319" s="18"/>
      <c r="K319" s="18"/>
      <c r="L319" s="19">
        <f t="shared" ref="L319:L325" si="16">SUM(F319:K319)</f>
        <v>35588.800000000003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11320+11014.07</f>
        <v>22334.07</v>
      </c>
      <c r="G320" s="18">
        <v>2357.69</v>
      </c>
      <c r="H320" s="18">
        <v>64358.82</v>
      </c>
      <c r="I320" s="18">
        <v>431.1</v>
      </c>
      <c r="J320" s="18">
        <v>722.73</v>
      </c>
      <c r="K320" s="18"/>
      <c r="L320" s="19">
        <f t="shared" si="16"/>
        <v>90204.41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51536</v>
      </c>
      <c r="G321" s="18">
        <f>23443.29+2309.07</f>
        <v>25752.36</v>
      </c>
      <c r="H321" s="18">
        <v>9325.2999999999993</v>
      </c>
      <c r="I321" s="18"/>
      <c r="J321" s="18"/>
      <c r="K321" s="18">
        <v>17</v>
      </c>
      <c r="L321" s="19">
        <f t="shared" si="16"/>
        <v>86630.66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1121.9000000000001</v>
      </c>
      <c r="G325" s="18">
        <v>143.69999999999999</v>
      </c>
      <c r="H325" s="18">
        <v>983.27</v>
      </c>
      <c r="I325" s="18">
        <v>546.04</v>
      </c>
      <c r="J325" s="18"/>
      <c r="K325" s="18"/>
      <c r="L325" s="19">
        <f t="shared" si="16"/>
        <v>2794.91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119300.41999999998</v>
      </c>
      <c r="G328" s="42">
        <f t="shared" si="17"/>
        <v>31825.690000000002</v>
      </c>
      <c r="H328" s="42">
        <f t="shared" si="17"/>
        <v>114766.69</v>
      </c>
      <c r="I328" s="42">
        <f t="shared" si="17"/>
        <v>12514.09</v>
      </c>
      <c r="J328" s="42">
        <f t="shared" si="17"/>
        <v>27159.95</v>
      </c>
      <c r="K328" s="42">
        <f t="shared" si="17"/>
        <v>17</v>
      </c>
      <c r="L328" s="41">
        <f t="shared" si="17"/>
        <v>305583.84000000003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105498.46</v>
      </c>
      <c r="G333" s="18">
        <v>16471.59</v>
      </c>
      <c r="H333" s="18">
        <v>24959.41</v>
      </c>
      <c r="I333" s="18">
        <v>1741.22</v>
      </c>
      <c r="J333" s="18"/>
      <c r="K333" s="18">
        <v>2646.02</v>
      </c>
      <c r="L333" s="19">
        <f t="shared" si="18"/>
        <v>151316.69999999998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105498.46</v>
      </c>
      <c r="G337" s="41">
        <f t="shared" si="19"/>
        <v>16471.59</v>
      </c>
      <c r="H337" s="41">
        <f t="shared" si="19"/>
        <v>24959.41</v>
      </c>
      <c r="I337" s="41">
        <f t="shared" si="19"/>
        <v>1741.22</v>
      </c>
      <c r="J337" s="41">
        <f t="shared" si="19"/>
        <v>0</v>
      </c>
      <c r="K337" s="41">
        <f t="shared" si="19"/>
        <v>2646.02</v>
      </c>
      <c r="L337" s="41">
        <f t="shared" si="18"/>
        <v>151316.69999999998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658568.53999999992</v>
      </c>
      <c r="G338" s="41">
        <f t="shared" si="20"/>
        <v>162040.92000000001</v>
      </c>
      <c r="H338" s="41">
        <f t="shared" si="20"/>
        <v>294496.43</v>
      </c>
      <c r="I338" s="41">
        <f t="shared" si="20"/>
        <v>29991.68</v>
      </c>
      <c r="J338" s="41">
        <f t="shared" si="20"/>
        <v>79928.52</v>
      </c>
      <c r="K338" s="41">
        <f t="shared" si="20"/>
        <v>2747.27</v>
      </c>
      <c r="L338" s="41">
        <f t="shared" si="20"/>
        <v>1227773.3599999999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77702.87</v>
      </c>
      <c r="L344" s="19">
        <f t="shared" ref="L344:L350" si="21">SUM(F344:K344)</f>
        <v>77702.87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77702.87</v>
      </c>
      <c r="L351" s="41">
        <f>SUM(L341:L350)</f>
        <v>77702.87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658568.53999999992</v>
      </c>
      <c r="G352" s="41">
        <f>G338</f>
        <v>162040.92000000001</v>
      </c>
      <c r="H352" s="41">
        <f>H338</f>
        <v>294496.43</v>
      </c>
      <c r="I352" s="41">
        <f>I338</f>
        <v>29991.68</v>
      </c>
      <c r="J352" s="41">
        <f>J338</f>
        <v>79928.52</v>
      </c>
      <c r="K352" s="47">
        <f>K338+K351</f>
        <v>80450.14</v>
      </c>
      <c r="L352" s="41">
        <f>L338+L351</f>
        <v>1305476.23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209784.64</v>
      </c>
      <c r="I358" s="18">
        <v>118759.74</v>
      </c>
      <c r="J358" s="18"/>
      <c r="K358" s="18"/>
      <c r="L358" s="13">
        <f>SUM(F358:K358)</f>
        <v>328544.38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108323.41</v>
      </c>
      <c r="I360" s="18">
        <v>61179.26</v>
      </c>
      <c r="J360" s="18"/>
      <c r="K360" s="18"/>
      <c r="L360" s="19">
        <f>SUM(F360:K360)</f>
        <v>169502.67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318108.05000000005</v>
      </c>
      <c r="I362" s="47">
        <f t="shared" si="22"/>
        <v>179939</v>
      </c>
      <c r="J362" s="47">
        <f t="shared" si="22"/>
        <v>0</v>
      </c>
      <c r="K362" s="47">
        <f t="shared" si="22"/>
        <v>0</v>
      </c>
      <c r="L362" s="47">
        <f t="shared" si="22"/>
        <v>498047.05000000005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106954.32</v>
      </c>
      <c r="G367" s="18"/>
      <c r="H367" s="18">
        <v>55097.68</v>
      </c>
      <c r="I367" s="56">
        <f>SUM(F367:H367)</f>
        <v>162052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11805.42</v>
      </c>
      <c r="G368" s="63"/>
      <c r="H368" s="63">
        <v>6081.58</v>
      </c>
      <c r="I368" s="56">
        <f>SUM(F368:H368)</f>
        <v>17887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118759.74</v>
      </c>
      <c r="G369" s="47">
        <f>SUM(G367:G368)</f>
        <v>0</v>
      </c>
      <c r="H369" s="47">
        <f>SUM(H367:H368)</f>
        <v>61179.26</v>
      </c>
      <c r="I369" s="47">
        <f>SUM(I367:I368)</f>
        <v>179939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4"/>
      <c r="G441" s="18">
        <v>122455</v>
      </c>
      <c r="H441" s="18"/>
      <c r="I441" s="56">
        <f>SUM(G441:H441)</f>
        <v>122455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1673461.12</v>
      </c>
      <c r="G442" s="18">
        <v>78363.83</v>
      </c>
      <c r="H442" s="18"/>
      <c r="I442" s="56">
        <f t="shared" si="33"/>
        <v>1751824.9500000002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1673461.12</v>
      </c>
      <c r="G446" s="13">
        <f>SUM(G439:G445)</f>
        <v>200818.83000000002</v>
      </c>
      <c r="H446" s="13">
        <f>SUM(H439:H445)</f>
        <v>0</v>
      </c>
      <c r="I446" s="13">
        <f>SUM(I439:I445)</f>
        <v>1874279.9500000002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1673461.12</v>
      </c>
      <c r="G459" s="18">
        <v>200818.83</v>
      </c>
      <c r="H459" s="18"/>
      <c r="I459" s="56">
        <f t="shared" si="34"/>
        <v>1874279.9500000002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1673461.12</v>
      </c>
      <c r="G460" s="83">
        <f>SUM(G454:G459)</f>
        <v>200818.83</v>
      </c>
      <c r="H460" s="83">
        <f>SUM(H454:H459)</f>
        <v>0</v>
      </c>
      <c r="I460" s="83">
        <f>SUM(I454:I459)</f>
        <v>1874279.9500000002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1673461.12</v>
      </c>
      <c r="G461" s="42">
        <f>G452+G460</f>
        <v>200818.83</v>
      </c>
      <c r="H461" s="42">
        <f>H452+H460</f>
        <v>0</v>
      </c>
      <c r="I461" s="42">
        <f>I452+I460</f>
        <v>1874279.9500000002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f>986465.23+116773</f>
        <v>1103238.23</v>
      </c>
      <c r="G465" s="18"/>
      <c r="H465" s="18">
        <v>33700.129999999997</v>
      </c>
      <c r="I465" s="18"/>
      <c r="J465" s="18">
        <v>1874279.95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15312742.18</v>
      </c>
      <c r="G468" s="18">
        <v>484328.8</v>
      </c>
      <c r="H468" s="18">
        <v>1360857.49</v>
      </c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41221</v>
      </c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15312742.18</v>
      </c>
      <c r="G470" s="53">
        <f>SUM(G468:G469)</f>
        <v>525549.80000000005</v>
      </c>
      <c r="H470" s="53">
        <f>SUM(H468:H469)</f>
        <v>1360857.49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15126956.84</v>
      </c>
      <c r="G472" s="18">
        <v>498047.05</v>
      </c>
      <c r="H472" s="18">
        <v>1305476.23</v>
      </c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15126956.84</v>
      </c>
      <c r="G474" s="53">
        <f>SUM(G472:G473)</f>
        <v>498047.05</v>
      </c>
      <c r="H474" s="53">
        <f>SUM(H472:H473)</f>
        <v>1305476.23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1289023.5700000003</v>
      </c>
      <c r="G476" s="53">
        <f>(G465+G470)- G474</f>
        <v>27502.750000000058</v>
      </c>
      <c r="H476" s="53">
        <f>(H465+H470)- H474</f>
        <v>89081.389999999898</v>
      </c>
      <c r="I476" s="53">
        <f>(I465+I470)- I474</f>
        <v>0</v>
      </c>
      <c r="J476" s="53">
        <f>(J465+J470)- J474</f>
        <v>1874279.95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194488.72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2.68</v>
      </c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194488.72</v>
      </c>
      <c r="G495" s="18"/>
      <c r="H495" s="18"/>
      <c r="I495" s="18"/>
      <c r="J495" s="18"/>
      <c r="K495" s="53">
        <f>SUM(F495:J495)</f>
        <v>194488.72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155546.88</v>
      </c>
      <c r="G498" s="204"/>
      <c r="H498" s="204"/>
      <c r="I498" s="204"/>
      <c r="J498" s="204"/>
      <c r="K498" s="205">
        <f t="shared" si="35"/>
        <v>155546.88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13144.13-2584.73</f>
        <v>10559.4</v>
      </c>
      <c r="G499" s="18"/>
      <c r="H499" s="18"/>
      <c r="I499" s="18"/>
      <c r="J499" s="18"/>
      <c r="K499" s="53">
        <f t="shared" si="35"/>
        <v>10559.4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166106.28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166106.28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37357.910000000003</v>
      </c>
      <c r="G501" s="204"/>
      <c r="H501" s="204"/>
      <c r="I501" s="204"/>
      <c r="J501" s="204"/>
      <c r="K501" s="205">
        <f t="shared" si="35"/>
        <v>37357.910000000003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4168.66</v>
      </c>
      <c r="G502" s="18"/>
      <c r="H502" s="18"/>
      <c r="I502" s="18"/>
      <c r="J502" s="18"/>
      <c r="K502" s="53">
        <f t="shared" si="35"/>
        <v>4168.66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41526.570000000007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41526.570000000007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1457268.2</v>
      </c>
      <c r="G521" s="18">
        <v>408437.21</v>
      </c>
      <c r="H521" s="18">
        <f>410734.45+42472.65</f>
        <v>453207.10000000003</v>
      </c>
      <c r="I521" s="18">
        <f>8949.08+552.47</f>
        <v>9501.5499999999993</v>
      </c>
      <c r="J521" s="18">
        <v>1198.9000000000001</v>
      </c>
      <c r="K521" s="18">
        <v>11317.78</v>
      </c>
      <c r="L521" s="88">
        <f>SUM(F521:K521)</f>
        <v>2340930.7399999993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>
        <v>147564.82999999999</v>
      </c>
      <c r="H522" s="18"/>
      <c r="I522" s="18"/>
      <c r="J522" s="18"/>
      <c r="K522" s="18"/>
      <c r="L522" s="88">
        <f>SUM(F522:K522)</f>
        <v>147564.82999999999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313718.63</v>
      </c>
      <c r="G523" s="18"/>
      <c r="H523" s="18">
        <f>496219.08+21879.85</f>
        <v>518098.93</v>
      </c>
      <c r="I523" s="18">
        <f>478.4+284.61</f>
        <v>763.01</v>
      </c>
      <c r="J523" s="18"/>
      <c r="K523" s="18">
        <v>5830.37</v>
      </c>
      <c r="L523" s="88">
        <f>SUM(F523:K523)</f>
        <v>838410.94000000006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1770986.83</v>
      </c>
      <c r="G524" s="108">
        <f t="shared" ref="G524:L524" si="36">SUM(G521:G523)</f>
        <v>556002.04</v>
      </c>
      <c r="H524" s="108">
        <f t="shared" si="36"/>
        <v>971306.03</v>
      </c>
      <c r="I524" s="108">
        <f t="shared" si="36"/>
        <v>10264.56</v>
      </c>
      <c r="J524" s="108">
        <f t="shared" si="36"/>
        <v>1198.9000000000001</v>
      </c>
      <c r="K524" s="108">
        <f t="shared" si="36"/>
        <v>17148.150000000001</v>
      </c>
      <c r="L524" s="89">
        <f t="shared" si="36"/>
        <v>3326906.5099999993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217524.78</v>
      </c>
      <c r="G526" s="18">
        <v>95687.7</v>
      </c>
      <c r="H526" s="18">
        <v>70037.87</v>
      </c>
      <c r="I526" s="18">
        <v>4836.8</v>
      </c>
      <c r="J526" s="18">
        <v>651.41</v>
      </c>
      <c r="K526" s="18"/>
      <c r="L526" s="88">
        <f>SUM(F526:K526)</f>
        <v>388738.55999999994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112058.22</v>
      </c>
      <c r="G528" s="18">
        <v>49293.67</v>
      </c>
      <c r="H528" s="18">
        <v>36080.11</v>
      </c>
      <c r="I528" s="18">
        <v>2491.69</v>
      </c>
      <c r="J528" s="18">
        <v>335.58</v>
      </c>
      <c r="K528" s="18"/>
      <c r="L528" s="88">
        <f>SUM(F528:K528)</f>
        <v>200259.27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329583</v>
      </c>
      <c r="G529" s="89">
        <f t="shared" ref="G529:L529" si="37">SUM(G526:G528)</f>
        <v>144981.37</v>
      </c>
      <c r="H529" s="89">
        <f t="shared" si="37"/>
        <v>106117.98</v>
      </c>
      <c r="I529" s="89">
        <f t="shared" si="37"/>
        <v>7328.49</v>
      </c>
      <c r="J529" s="89">
        <f t="shared" si="37"/>
        <v>986.99</v>
      </c>
      <c r="K529" s="89">
        <f t="shared" si="37"/>
        <v>0</v>
      </c>
      <c r="L529" s="89">
        <f t="shared" si="37"/>
        <v>588997.82999999996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73928.710000000006</v>
      </c>
      <c r="G531" s="18">
        <v>38084.49</v>
      </c>
      <c r="H531" s="18"/>
      <c r="I531" s="18"/>
      <c r="J531" s="18"/>
      <c r="K531" s="18"/>
      <c r="L531" s="88">
        <f>SUM(F531:K531)</f>
        <v>112013.20000000001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37109.19</v>
      </c>
      <c r="G533" s="18">
        <v>19116.86</v>
      </c>
      <c r="H533" s="18"/>
      <c r="I533" s="18"/>
      <c r="J533" s="18"/>
      <c r="K533" s="18"/>
      <c r="L533" s="88">
        <f>SUM(F533:K533)</f>
        <v>56226.05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111037.90000000001</v>
      </c>
      <c r="G534" s="89">
        <f t="shared" ref="G534:L534" si="38">SUM(G531:G533)</f>
        <v>57201.35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168239.25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2474.67</v>
      </c>
      <c r="I536" s="18"/>
      <c r="J536" s="18"/>
      <c r="K536" s="18"/>
      <c r="L536" s="88">
        <f>SUM(F536:K536)</f>
        <v>2474.67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1274.83</v>
      </c>
      <c r="I538" s="18"/>
      <c r="J538" s="18"/>
      <c r="K538" s="18"/>
      <c r="L538" s="88">
        <f>SUM(F538:K538)</f>
        <v>1274.83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3749.5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3749.5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48131.43</v>
      </c>
      <c r="G541" s="18">
        <v>19402.189999999999</v>
      </c>
      <c r="H541" s="18">
        <v>15133.79</v>
      </c>
      <c r="I541" s="18">
        <v>9443.11</v>
      </c>
      <c r="J541" s="18"/>
      <c r="K541" s="18"/>
      <c r="L541" s="88">
        <f>SUM(F541:K541)</f>
        <v>92110.52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24794.98</v>
      </c>
      <c r="G543" s="18">
        <v>9995.07</v>
      </c>
      <c r="H543" s="18">
        <v>7796.2</v>
      </c>
      <c r="I543" s="18">
        <v>4864.63</v>
      </c>
      <c r="J543" s="18"/>
      <c r="K543" s="18"/>
      <c r="L543" s="88">
        <f>SUM(F543:K543)</f>
        <v>47450.879999999997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72926.41</v>
      </c>
      <c r="G544" s="193">
        <f t="shared" ref="G544:L544" si="40">SUM(G541:G543)</f>
        <v>29397.26</v>
      </c>
      <c r="H544" s="193">
        <f t="shared" si="40"/>
        <v>22929.99</v>
      </c>
      <c r="I544" s="193">
        <f t="shared" si="40"/>
        <v>14307.740000000002</v>
      </c>
      <c r="J544" s="193">
        <f t="shared" si="40"/>
        <v>0</v>
      </c>
      <c r="K544" s="193">
        <f t="shared" si="40"/>
        <v>0</v>
      </c>
      <c r="L544" s="193">
        <f t="shared" si="40"/>
        <v>139561.4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2284534.14</v>
      </c>
      <c r="G545" s="89">
        <f t="shared" ref="G545:L545" si="41">G524+G529+G534+G539+G544</f>
        <v>787582.02</v>
      </c>
      <c r="H545" s="89">
        <f t="shared" si="41"/>
        <v>1104103.5</v>
      </c>
      <c r="I545" s="89">
        <f t="shared" si="41"/>
        <v>31900.79</v>
      </c>
      <c r="J545" s="89">
        <f t="shared" si="41"/>
        <v>2185.8900000000003</v>
      </c>
      <c r="K545" s="89">
        <f t="shared" si="41"/>
        <v>17148.150000000001</v>
      </c>
      <c r="L545" s="89">
        <f t="shared" si="41"/>
        <v>4227454.4899999993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2340930.7399999993</v>
      </c>
      <c r="G549" s="87">
        <f>L526</f>
        <v>388738.55999999994</v>
      </c>
      <c r="H549" s="87">
        <f>L531</f>
        <v>112013.20000000001</v>
      </c>
      <c r="I549" s="87">
        <f>L536</f>
        <v>2474.67</v>
      </c>
      <c r="J549" s="87">
        <f>L541</f>
        <v>92110.52</v>
      </c>
      <c r="K549" s="87">
        <f>SUM(F549:J549)</f>
        <v>2936267.6899999995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147564.82999999999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147564.82999999999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838410.94000000006</v>
      </c>
      <c r="G551" s="87">
        <f>L528</f>
        <v>200259.27</v>
      </c>
      <c r="H551" s="87">
        <f>L533</f>
        <v>56226.05</v>
      </c>
      <c r="I551" s="87">
        <f>L538</f>
        <v>1274.83</v>
      </c>
      <c r="J551" s="87">
        <f>L543</f>
        <v>47450.879999999997</v>
      </c>
      <c r="K551" s="87">
        <f>SUM(F551:J551)</f>
        <v>1143621.97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3326906.5099999993</v>
      </c>
      <c r="G552" s="89">
        <f t="shared" si="42"/>
        <v>588997.82999999996</v>
      </c>
      <c r="H552" s="89">
        <f t="shared" si="42"/>
        <v>168239.25</v>
      </c>
      <c r="I552" s="89">
        <f t="shared" si="42"/>
        <v>3749.5</v>
      </c>
      <c r="J552" s="89">
        <f t="shared" si="42"/>
        <v>139561.4</v>
      </c>
      <c r="K552" s="89">
        <f t="shared" si="42"/>
        <v>4227454.4899999993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>
        <f>850+1650</f>
        <v>2500</v>
      </c>
      <c r="H557" s="18">
        <f>106.85+8755.67</f>
        <v>8862.52</v>
      </c>
      <c r="I557" s="18">
        <f>2273.26+2163.01</f>
        <v>4436.2700000000004</v>
      </c>
      <c r="J557" s="18">
        <v>5464.29</v>
      </c>
      <c r="K557" s="18"/>
      <c r="L557" s="88">
        <f>SUM(F557:K557)</f>
        <v>21263.08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>
        <v>4510.5</v>
      </c>
      <c r="I559" s="18">
        <f>6662.19+1114.28</f>
        <v>7776.4699999999993</v>
      </c>
      <c r="J559" s="18"/>
      <c r="K559" s="18"/>
      <c r="L559" s="88">
        <f>SUM(F559:K559)</f>
        <v>12286.97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2500</v>
      </c>
      <c r="H560" s="108">
        <f t="shared" si="43"/>
        <v>13373.02</v>
      </c>
      <c r="I560" s="108">
        <f t="shared" si="43"/>
        <v>12212.74</v>
      </c>
      <c r="J560" s="108">
        <f t="shared" si="43"/>
        <v>5464.29</v>
      </c>
      <c r="K560" s="108">
        <f t="shared" si="43"/>
        <v>0</v>
      </c>
      <c r="L560" s="89">
        <f t="shared" si="43"/>
        <v>33550.050000000003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>
        <v>4561.92</v>
      </c>
      <c r="I562" s="18"/>
      <c r="J562" s="18"/>
      <c r="K562" s="18"/>
      <c r="L562" s="88">
        <f>SUM(F562:K562)</f>
        <v>4561.92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>
        <v>2350.08</v>
      </c>
      <c r="I564" s="18"/>
      <c r="J564" s="18"/>
      <c r="K564" s="18"/>
      <c r="L564" s="88">
        <f>SUM(F564:K564)</f>
        <v>2350.08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6912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6912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2500</v>
      </c>
      <c r="H571" s="89">
        <f t="shared" si="46"/>
        <v>20285.02</v>
      </c>
      <c r="I571" s="89">
        <f t="shared" si="46"/>
        <v>12212.74</v>
      </c>
      <c r="J571" s="89">
        <f t="shared" si="46"/>
        <v>5464.29</v>
      </c>
      <c r="K571" s="89">
        <f t="shared" si="46"/>
        <v>0</v>
      </c>
      <c r="L571" s="89">
        <f t="shared" si="46"/>
        <v>40462.050000000003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f>8274.12+56202.5+340969.72</f>
        <v>405446.33999999997</v>
      </c>
      <c r="G578" s="18"/>
      <c r="H578" s="18">
        <v>495648.12</v>
      </c>
      <c r="I578" s="87">
        <f t="shared" si="47"/>
        <v>901094.46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108125.48</v>
      </c>
      <c r="I584" s="87">
        <f t="shared" si="47"/>
        <v>108125.48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192277.03+4.56</f>
        <v>192281.59</v>
      </c>
      <c r="I591" s="18"/>
      <c r="J591" s="18">
        <v>99051.81</v>
      </c>
      <c r="K591" s="104">
        <f t="shared" ref="K591:K597" si="48">SUM(H591:J591)</f>
        <v>291333.40000000002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92110.52</v>
      </c>
      <c r="I592" s="18"/>
      <c r="J592" s="18">
        <v>47450.87</v>
      </c>
      <c r="K592" s="104">
        <f t="shared" si="48"/>
        <v>139561.39000000001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26020.05</v>
      </c>
      <c r="K593" s="104">
        <f t="shared" si="48"/>
        <v>26020.05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3568.88</v>
      </c>
      <c r="I594" s="18"/>
      <c r="J594" s="18">
        <v>14217.92</v>
      </c>
      <c r="K594" s="104">
        <f t="shared" si="48"/>
        <v>17786.8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6635.92</v>
      </c>
      <c r="I595" s="18"/>
      <c r="J595" s="18">
        <v>638.04</v>
      </c>
      <c r="K595" s="104">
        <f t="shared" si="48"/>
        <v>7273.96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41734.6</v>
      </c>
      <c r="I597" s="18"/>
      <c r="J597" s="18">
        <f>9239.71+22063.16+1093.89</f>
        <v>32396.76</v>
      </c>
      <c r="K597" s="104">
        <f t="shared" si="48"/>
        <v>74131.360000000001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336331.50999999995</v>
      </c>
      <c r="I598" s="108">
        <f>SUM(I591:I597)</f>
        <v>0</v>
      </c>
      <c r="J598" s="108">
        <f>SUM(J591:J597)</f>
        <v>219775.45</v>
      </c>
      <c r="K598" s="108">
        <f>SUM(K591:K597)</f>
        <v>556106.96000000008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54630.69+62115.06</f>
        <v>116745.75</v>
      </c>
      <c r="I604" s="18"/>
      <c r="J604" s="18">
        <f>34290.88+31998.667</f>
        <v>66289.546999999991</v>
      </c>
      <c r="K604" s="104">
        <f>SUM(H604:J604)</f>
        <v>183035.29699999999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116745.75</v>
      </c>
      <c r="I605" s="108">
        <f>SUM(I602:I604)</f>
        <v>0</v>
      </c>
      <c r="J605" s="108">
        <f>SUM(J602:J604)</f>
        <v>66289.546999999991</v>
      </c>
      <c r="K605" s="108">
        <f>SUM(K602:K604)</f>
        <v>183035.29699999999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2940550.76</v>
      </c>
      <c r="H617" s="109">
        <f>SUM(F52)</f>
        <v>2940550.76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41221</v>
      </c>
      <c r="H618" s="109">
        <f>SUM(G52)</f>
        <v>41221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89081.39</v>
      </c>
      <c r="H619" s="109">
        <f>SUM(H52)</f>
        <v>89081.39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1874279.9500000002</v>
      </c>
      <c r="H621" s="109">
        <f>SUM(J52)</f>
        <v>1874279.9500000002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1289023.5699999998</v>
      </c>
      <c r="H622" s="109">
        <f>F476</f>
        <v>1289023.5700000003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27502.75</v>
      </c>
      <c r="H623" s="109">
        <f>G476</f>
        <v>27502.750000000058</v>
      </c>
      <c r="I623" s="121" t="s">
        <v>102</v>
      </c>
      <c r="J623" s="109">
        <f t="shared" si="50"/>
        <v>-5.8207660913467407E-11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89081.39</v>
      </c>
      <c r="H624" s="109">
        <f>H476</f>
        <v>89081.389999999898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1874279.9500000002</v>
      </c>
      <c r="H626" s="109">
        <f>J476</f>
        <v>1874279.95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15312742.180000002</v>
      </c>
      <c r="H627" s="104">
        <f>SUM(F468)</f>
        <v>15312742.18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484328.8</v>
      </c>
      <c r="H628" s="104">
        <f>SUM(G468)</f>
        <v>484328.8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1360857.4900000002</v>
      </c>
      <c r="H629" s="104">
        <f>SUM(H468)</f>
        <v>1360857.49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15126956.84</v>
      </c>
      <c r="H632" s="104">
        <f>SUM(F472)</f>
        <v>15126956.84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1305476.23</v>
      </c>
      <c r="H633" s="104">
        <f>SUM(H472)</f>
        <v>1305476.23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179939</v>
      </c>
      <c r="H634" s="104">
        <f>I369</f>
        <v>179939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498047.05000000005</v>
      </c>
      <c r="H635" s="104">
        <f>SUM(G472)</f>
        <v>498047.05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1673461.12</v>
      </c>
      <c r="H639" s="104">
        <f>SUM(F461)</f>
        <v>1673461.12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200818.83000000002</v>
      </c>
      <c r="H640" s="104">
        <f>SUM(G461)</f>
        <v>200818.83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1874279.9500000002</v>
      </c>
      <c r="H642" s="104">
        <f>SUM(I461)</f>
        <v>1874279.9500000002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556106.96000000008</v>
      </c>
      <c r="H647" s="104">
        <f>L208+L226+L244</f>
        <v>556106.96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183035.29699999999</v>
      </c>
      <c r="H648" s="104">
        <f>(J257+J338)-(J255+J336)</f>
        <v>183035.3</v>
      </c>
      <c r="I648" s="140" t="s">
        <v>703</v>
      </c>
      <c r="J648" s="109">
        <f t="shared" si="50"/>
        <v>-2.9999999969732016E-3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336331.51</v>
      </c>
      <c r="H649" s="104">
        <f>H598</f>
        <v>336331.50999999995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219775.45</v>
      </c>
      <c r="H651" s="104">
        <f>J598</f>
        <v>219775.45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2154.3000000000002</v>
      </c>
      <c r="H652" s="104">
        <f>K263+K345</f>
        <v>2154.3000000000002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-2.9999837279319763E-3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11015941.199999999</v>
      </c>
      <c r="G660" s="19">
        <f>(L229+L309+L359)</f>
        <v>0</v>
      </c>
      <c r="H660" s="19">
        <f>(L247+L328+L360)</f>
        <v>5683365.0499999998</v>
      </c>
      <c r="I660" s="19">
        <f>SUM(F660:H660)</f>
        <v>16699306.25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106784.96399599676</v>
      </c>
      <c r="G661" s="19">
        <f>(L359/IF(SUM(L358:L360)=0,1,SUM(L358:L360))*(SUM(G97:G110)))</f>
        <v>0</v>
      </c>
      <c r="H661" s="19">
        <f>(L360/IF(SUM(L358:L360)=0,1,SUM(L358:L360))*(SUM(G97:G110)))</f>
        <v>55092.516004003235</v>
      </c>
      <c r="I661" s="19">
        <f>SUM(F661:H661)</f>
        <v>161877.47999999998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337244.73</v>
      </c>
      <c r="G662" s="19">
        <f>(L226+L306)-(J226+J306)</f>
        <v>0</v>
      </c>
      <c r="H662" s="19">
        <f>(L244+L325)-(J244+J325)</f>
        <v>220245.90000000002</v>
      </c>
      <c r="I662" s="19">
        <f>SUM(F662:H662)</f>
        <v>557490.63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522192.08999999997</v>
      </c>
      <c r="G663" s="199">
        <f>SUM(G575:G587)+SUM(I602:I604)+L612</f>
        <v>0</v>
      </c>
      <c r="H663" s="199">
        <f>SUM(H575:H587)+SUM(J602:J604)+L613</f>
        <v>670063.147</v>
      </c>
      <c r="I663" s="19">
        <f>SUM(F663:H663)</f>
        <v>1192255.237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10049719.416004002</v>
      </c>
      <c r="G664" s="19">
        <f>G660-SUM(G661:G663)</f>
        <v>0</v>
      </c>
      <c r="H664" s="19">
        <f>H660-SUM(H661:H663)</f>
        <v>4737963.4869959969</v>
      </c>
      <c r="I664" s="19">
        <f>I660-SUM(I661:I663)</f>
        <v>14787682.903000001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446.03+313.83</f>
        <v>759.8599999999999</v>
      </c>
      <c r="G665" s="248"/>
      <c r="H665" s="248">
        <v>388.88</v>
      </c>
      <c r="I665" s="19">
        <f>SUM(F665:H665)</f>
        <v>1148.7399999999998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13225.75</v>
      </c>
      <c r="G667" s="19" t="e">
        <f>ROUND(G664/G665,2)</f>
        <v>#DIV/0!</v>
      </c>
      <c r="H667" s="19">
        <f>ROUND(H664/H665,2)</f>
        <v>12183.61</v>
      </c>
      <c r="I667" s="19">
        <f>ROUND(I664/I665,2)</f>
        <v>12872.96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-9.77</v>
      </c>
      <c r="I670" s="19">
        <f>SUM(F670:H670)</f>
        <v>-9.77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13225.75</v>
      </c>
      <c r="G672" s="19" t="e">
        <f>ROUND((G664+G669)/(G665+G670),2)</f>
        <v>#DIV/0!</v>
      </c>
      <c r="H672" s="19">
        <f>ROUND((H664+H669)/(H665+H670),2)</f>
        <v>12497.6</v>
      </c>
      <c r="I672" s="19">
        <f>ROUND((I664+I669)/(I665+I670),2)</f>
        <v>12983.38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16383" man="1"/>
    <brk id="656" max="16383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FARMINGTON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3677547.3600000003</v>
      </c>
      <c r="C9" s="229">
        <f>'DOE25'!G197+'DOE25'!G215+'DOE25'!G233+'DOE25'!G276+'DOE25'!G295+'DOE25'!G314</f>
        <v>1508017.12</v>
      </c>
    </row>
    <row r="10" spans="1:3" x14ac:dyDescent="0.2">
      <c r="A10" t="s">
        <v>779</v>
      </c>
      <c r="B10" s="240">
        <f>28427.15+993881.61+1302194.23+1188679.17+34352.8+5593.6+11048.4+12259.58+6341.09+34696.45</f>
        <v>3617474.08</v>
      </c>
      <c r="C10" s="240">
        <f>209951.38+282025.33+192417.44+7851.36+8982+7296.07+0.12+3113.1+71181.14+92927.24+91075.07+5.59+4172.4+136879.96+184474.16+169819.66+2342.15+2149.52+7765.89+227.94+7513.25+7555.76+6836.14+3786.89</f>
        <v>1500349.5599999994</v>
      </c>
    </row>
    <row r="11" spans="1:3" x14ac:dyDescent="0.2">
      <c r="A11" t="s">
        <v>780</v>
      </c>
      <c r="B11" s="240">
        <v>0</v>
      </c>
      <c r="C11" s="240">
        <v>0</v>
      </c>
    </row>
    <row r="12" spans="1:3" x14ac:dyDescent="0.2">
      <c r="A12" t="s">
        <v>781</v>
      </c>
      <c r="B12" s="240">
        <f>300+1789.5+15973.28+16282.5+25728</f>
        <v>60073.279999999999</v>
      </c>
      <c r="C12" s="240">
        <f>3231.8+4435.76</f>
        <v>7667.56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3677547.36</v>
      </c>
      <c r="C13" s="231">
        <f>SUM(C10:C12)</f>
        <v>1508017.1199999994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2153798.9500000002</v>
      </c>
      <c r="C18" s="229">
        <f>'DOE25'!G198+'DOE25'!G216+'DOE25'!G234+'DOE25'!G277+'DOE25'!G296+'DOE25'!G315</f>
        <v>578460.23</v>
      </c>
    </row>
    <row r="19" spans="1:3" x14ac:dyDescent="0.2">
      <c r="A19" t="s">
        <v>779</v>
      </c>
      <c r="B19" s="240">
        <v>985837.7</v>
      </c>
      <c r="C19" s="240">
        <f>67154.55+102271.8+46946.65+3877.43+1743+1655.74+1349.71+78.44+11.48+66.56+18496.73+22550.05+537.72+3324.24+123.19+41304.53+40344.51+24702.72+1264.66+7764+8225.79+8288.81+3046.57+63.97+3909.68+6365.51+2013.75+33.04+177.69+8208+7296+697.2+697.2+9628.95+569.18+7.34+84.46+1092.8+24.47+12178.04+592.57+26.92+798.28+65.38-4.22+4.23+10245.36+1053.77+13.59+156.33+1078.42+13776.97+883.7+49.84+723.85+51.32+667.4+37.78+0.44+5.51+65.71+1.63+91.97+828.55</f>
        <v>489391.45999999996</v>
      </c>
    </row>
    <row r="20" spans="1:3" x14ac:dyDescent="0.2">
      <c r="A20" t="s">
        <v>780</v>
      </c>
      <c r="B20" s="240">
        <v>1123160.1000000001</v>
      </c>
      <c r="C20" s="240">
        <f>85921.75</f>
        <v>85921.75</v>
      </c>
    </row>
    <row r="21" spans="1:3" x14ac:dyDescent="0.2">
      <c r="A21" t="s">
        <v>781</v>
      </c>
      <c r="B21" s="240">
        <v>44801.15</v>
      </c>
      <c r="C21" s="240">
        <f>39.21+2.36+47.97+4.63+850+1650+552.85</f>
        <v>3147.02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2153798.9499999997</v>
      </c>
      <c r="C22" s="231">
        <f>SUM(C19:C21)</f>
        <v>578460.23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191985.26</v>
      </c>
      <c r="C36" s="235">
        <f>'DOE25'!G200+'DOE25'!G218+'DOE25'!G236+'DOE25'!G279+'DOE25'!G298+'DOE25'!G317</f>
        <v>43214.23</v>
      </c>
    </row>
    <row r="37" spans="1:3" x14ac:dyDescent="0.2">
      <c r="A37" t="s">
        <v>779</v>
      </c>
      <c r="B37" s="240">
        <f>1850+26328.5+35133+120801.76</f>
        <v>184113.26</v>
      </c>
      <c r="C37" s="240">
        <f>149.47+5686.48+4346.96+31278.23</f>
        <v>41461.14</v>
      </c>
    </row>
    <row r="38" spans="1:3" x14ac:dyDescent="0.2">
      <c r="A38" t="s">
        <v>780</v>
      </c>
      <c r="B38" s="240">
        <v>7872</v>
      </c>
      <c r="C38" s="240">
        <v>1753.09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191985.26</v>
      </c>
      <c r="C40" s="231">
        <f>SUM(C37:C39)</f>
        <v>43214.229999999996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FARMINGTON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9194038.0699999984</v>
      </c>
      <c r="D5" s="20">
        <f>SUM('DOE25'!L197:L200)+SUM('DOE25'!L215:L218)+SUM('DOE25'!L233:L236)-F5-G5</f>
        <v>9164858.1099999975</v>
      </c>
      <c r="E5" s="243"/>
      <c r="F5" s="255">
        <f>SUM('DOE25'!J197:J200)+SUM('DOE25'!J215:J218)+SUM('DOE25'!J233:J236)</f>
        <v>9066.81</v>
      </c>
      <c r="G5" s="53">
        <f>SUM('DOE25'!K197:K200)+SUM('DOE25'!K215:K218)+SUM('DOE25'!K233:K236)</f>
        <v>20113.150000000001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1300493.6099999999</v>
      </c>
      <c r="D6" s="20">
        <f>'DOE25'!L202+'DOE25'!L220+'DOE25'!L238-F6-G6</f>
        <v>1299146.6199999999</v>
      </c>
      <c r="E6" s="243"/>
      <c r="F6" s="255">
        <f>'DOE25'!J202+'DOE25'!J220+'DOE25'!J238</f>
        <v>986.99</v>
      </c>
      <c r="G6" s="53">
        <f>'DOE25'!K202+'DOE25'!K220+'DOE25'!K238</f>
        <v>360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274916.45999999996</v>
      </c>
      <c r="D7" s="20">
        <f>'DOE25'!L203+'DOE25'!L221+'DOE25'!L239-F7-G7</f>
        <v>273421.76999999996</v>
      </c>
      <c r="E7" s="243"/>
      <c r="F7" s="255">
        <f>'DOE25'!J203+'DOE25'!J221+'DOE25'!J239</f>
        <v>0</v>
      </c>
      <c r="G7" s="53">
        <f>'DOE25'!K203+'DOE25'!K221+'DOE25'!K239</f>
        <v>1494.69</v>
      </c>
      <c r="H7" s="259"/>
    </row>
    <row r="8" spans="1:9" x14ac:dyDescent="0.2">
      <c r="A8" s="32">
        <v>2300</v>
      </c>
      <c r="B8" t="s">
        <v>802</v>
      </c>
      <c r="C8" s="245">
        <f t="shared" si="0"/>
        <v>451055.19000000012</v>
      </c>
      <c r="D8" s="243"/>
      <c r="E8" s="20">
        <f>'DOE25'!L204+'DOE25'!L222+'DOE25'!L240-F8-G8-D9-D11</f>
        <v>445557.50000000012</v>
      </c>
      <c r="F8" s="255">
        <f>'DOE25'!J204+'DOE25'!J222+'DOE25'!J240</f>
        <v>0</v>
      </c>
      <c r="G8" s="53">
        <f>'DOE25'!K204+'DOE25'!K222+'DOE25'!K240</f>
        <v>5497.6900000000005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168165.46</v>
      </c>
      <c r="D9" s="244">
        <v>168165.46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14550</v>
      </c>
      <c r="D10" s="243"/>
      <c r="E10" s="244">
        <v>14550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397050.9</v>
      </c>
      <c r="D11" s="244">
        <v>397050.9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1025030.3500000001</v>
      </c>
      <c r="D12" s="20">
        <f>'DOE25'!L205+'DOE25'!L223+'DOE25'!L241-F12-G12</f>
        <v>1014819.2400000001</v>
      </c>
      <c r="E12" s="243"/>
      <c r="F12" s="255">
        <f>'DOE25'!J205+'DOE25'!J223+'DOE25'!J241</f>
        <v>4886.45</v>
      </c>
      <c r="G12" s="53">
        <f>'DOE25'!K205+'DOE25'!K223+'DOE25'!K241</f>
        <v>5324.66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776.49</v>
      </c>
      <c r="D13" s="243"/>
      <c r="E13" s="20">
        <f>'DOE25'!L206+'DOE25'!L224+'DOE25'!L242-F13-G13</f>
        <v>776.49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1416815.1400000001</v>
      </c>
      <c r="D14" s="20">
        <f>'DOE25'!L207+'DOE25'!L225+'DOE25'!L243-F14-G14</f>
        <v>1401624.35</v>
      </c>
      <c r="E14" s="243"/>
      <c r="F14" s="255">
        <f>'DOE25'!J207+'DOE25'!J225+'DOE25'!J243</f>
        <v>14942.79</v>
      </c>
      <c r="G14" s="53">
        <f>'DOE25'!K207+'DOE25'!K225+'DOE25'!K243</f>
        <v>248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556106.96</v>
      </c>
      <c r="D15" s="20">
        <f>'DOE25'!L208+'DOE25'!L226+'DOE25'!L244-F15-G15</f>
        <v>547795.93999999994</v>
      </c>
      <c r="E15" s="243"/>
      <c r="F15" s="255">
        <f>'DOE25'!J208+'DOE25'!J226+'DOE25'!J244</f>
        <v>6836.66</v>
      </c>
      <c r="G15" s="53">
        <f>'DOE25'!K208+'DOE25'!K226+'DOE25'!K244</f>
        <v>1474.3600000000001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340353.91000000003</v>
      </c>
      <c r="D16" s="243"/>
      <c r="E16" s="20">
        <f>'DOE25'!L209+'DOE25'!L227+'DOE25'!L245-F16-G16</f>
        <v>273966.83</v>
      </c>
      <c r="F16" s="255">
        <f>'DOE25'!J209+'DOE25'!J227+'DOE25'!J245</f>
        <v>66387.08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335995.05000000005</v>
      </c>
      <c r="D29" s="20">
        <f>'DOE25'!L358+'DOE25'!L359+'DOE25'!L360-'DOE25'!I367-F29-G29</f>
        <v>335995.05000000005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1227773.3599999999</v>
      </c>
      <c r="D31" s="20">
        <f>'DOE25'!L290+'DOE25'!L309+'DOE25'!L328+'DOE25'!L333+'DOE25'!L334+'DOE25'!L335-F31-G31</f>
        <v>1145097.5699999998</v>
      </c>
      <c r="E31" s="243"/>
      <c r="F31" s="255">
        <f>'DOE25'!J290+'DOE25'!J309+'DOE25'!J328+'DOE25'!J333+'DOE25'!J334+'DOE25'!J335</f>
        <v>79928.52</v>
      </c>
      <c r="G31" s="53">
        <f>'DOE25'!K290+'DOE25'!K309+'DOE25'!K328+'DOE25'!K333+'DOE25'!K334+'DOE25'!K335</f>
        <v>2747.27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15747975.009999998</v>
      </c>
      <c r="E33" s="246">
        <f>SUM(E5:E31)</f>
        <v>734850.82000000007</v>
      </c>
      <c r="F33" s="246">
        <f>SUM(F5:F31)</f>
        <v>183035.3</v>
      </c>
      <c r="G33" s="246">
        <f>SUM(G5:G31)</f>
        <v>37259.82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734850.82000000007</v>
      </c>
      <c r="E35" s="249"/>
    </row>
    <row r="36" spans="2:8" ht="12" thickTop="1" x14ac:dyDescent="0.2">
      <c r="B36" t="s">
        <v>815</v>
      </c>
      <c r="D36" s="20">
        <f>D33</f>
        <v>15747975.009999998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0" activePane="bottomLeft" state="frozen"/>
      <selection activeCell="F46" sqref="F46"/>
      <selection pane="bottomLeft" activeCell="C49" sqref="C4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FARMINGTON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1718772.51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371918.16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122455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849530.86</v>
      </c>
      <c r="D12" s="95">
        <f>'DOE25'!G13</f>
        <v>0</v>
      </c>
      <c r="E12" s="95">
        <f>'DOE25'!H13</f>
        <v>50490.34</v>
      </c>
      <c r="F12" s="95">
        <f>'DOE25'!I13</f>
        <v>0</v>
      </c>
      <c r="G12" s="95">
        <f>'DOE25'!J13</f>
        <v>1751824.9500000002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329.23</v>
      </c>
      <c r="D13" s="95">
        <f>'DOE25'!G14</f>
        <v>41221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38591.050000000003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2940550.76</v>
      </c>
      <c r="D18" s="41">
        <f>SUM(D8:D17)</f>
        <v>41221</v>
      </c>
      <c r="E18" s="41">
        <f>SUM(E8:E17)</f>
        <v>89081.39</v>
      </c>
      <c r="F18" s="41">
        <f>SUM(F8:F17)</f>
        <v>0</v>
      </c>
      <c r="G18" s="41">
        <f>SUM(G8:G17)</f>
        <v>1874279.9500000002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762515.73</v>
      </c>
      <c r="D23" s="95">
        <f>'DOE25'!G24</f>
        <v>13718.25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553302.33000000007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335709.13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1651527.19</v>
      </c>
      <c r="D31" s="41">
        <f>SUM(D21:D30)</f>
        <v>13718.25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115971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27502.75</v>
      </c>
      <c r="E47" s="95">
        <f>'DOE25'!H48</f>
        <v>38591.050000000003</v>
      </c>
      <c r="F47" s="95">
        <f>'DOE25'!I48</f>
        <v>0</v>
      </c>
      <c r="G47" s="95">
        <f>'DOE25'!J48</f>
        <v>1874279.9500000002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209613.33</v>
      </c>
      <c r="D48" s="95">
        <f>'DOE25'!G49</f>
        <v>0</v>
      </c>
      <c r="E48" s="95">
        <f>'DOE25'!H49</f>
        <v>50490.34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963439.24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1289023.5699999998</v>
      </c>
      <c r="D50" s="41">
        <f>SUM(D34:D49)</f>
        <v>27502.75</v>
      </c>
      <c r="E50" s="41">
        <f>SUM(E34:E49)</f>
        <v>89081.39</v>
      </c>
      <c r="F50" s="41">
        <f>SUM(F34:F49)</f>
        <v>0</v>
      </c>
      <c r="G50" s="41">
        <f>SUM(G34:G49)</f>
        <v>1874279.9500000002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2940550.76</v>
      </c>
      <c r="D51" s="41">
        <f>D50+D31</f>
        <v>41221</v>
      </c>
      <c r="E51" s="41">
        <f>E50+E31</f>
        <v>89081.39</v>
      </c>
      <c r="F51" s="41">
        <f>F50+F31</f>
        <v>0</v>
      </c>
      <c r="G51" s="41">
        <f>G50+G31</f>
        <v>1874279.9500000002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4638860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2760880.2800000003</v>
      </c>
      <c r="D57" s="24" t="s">
        <v>289</v>
      </c>
      <c r="E57" s="95">
        <f>'DOE25'!H79</f>
        <v>10175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17783.490000000002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161877.48000000001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90930.71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2869594.4800000004</v>
      </c>
      <c r="D62" s="130">
        <f>SUM(D57:D61)</f>
        <v>161877.48000000001</v>
      </c>
      <c r="E62" s="130">
        <f>SUM(E57:E61)</f>
        <v>10175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7508454.4800000004</v>
      </c>
      <c r="D63" s="22">
        <f>D56+D62</f>
        <v>161877.48000000001</v>
      </c>
      <c r="E63" s="22">
        <f>E56+E62</f>
        <v>10175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6460173.3399999999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945356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7405529.3399999999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132755.65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17544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6581.05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150299.65</v>
      </c>
      <c r="D78" s="130">
        <f>SUM(D72:D77)</f>
        <v>6581.05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7555828.9900000002</v>
      </c>
      <c r="D81" s="130">
        <f>SUM(D79:D80)+D78+D70</f>
        <v>6581.05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77702.87</v>
      </c>
      <c r="D85" s="95">
        <f>'DOE25'!G147</f>
        <v>0</v>
      </c>
      <c r="E85" s="95">
        <f>'DOE25'!H147</f>
        <v>21577.69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160707.9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170755.84</v>
      </c>
      <c r="D88" s="95">
        <f>SUM('DOE25'!G153:G161)</f>
        <v>313715.96999999997</v>
      </c>
      <c r="E88" s="95">
        <f>SUM('DOE25'!H153:H161)</f>
        <v>1168396.9000000001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248458.71</v>
      </c>
      <c r="D91" s="131">
        <f>SUM(D85:D90)</f>
        <v>313715.96999999997</v>
      </c>
      <c r="E91" s="131">
        <f>SUM(E85:E90)</f>
        <v>1350682.4900000002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2154.3000000000002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2154.3000000000002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15312742.180000002</v>
      </c>
      <c r="D104" s="86">
        <f>D63+D81+D91+D103</f>
        <v>484328.8</v>
      </c>
      <c r="E104" s="86">
        <f>E63+E81+E91+E103</f>
        <v>1360857.4900000002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5493747.8899999997</v>
      </c>
      <c r="D109" s="24" t="s">
        <v>289</v>
      </c>
      <c r="E109" s="95">
        <f>('DOE25'!L276)+('DOE25'!L295)+('DOE25'!L314)</f>
        <v>82440.259999999995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3317668.8999999994</v>
      </c>
      <c r="D110" s="24" t="s">
        <v>289</v>
      </c>
      <c r="E110" s="95">
        <f>('DOE25'!L277)+('DOE25'!L296)+('DOE25'!L315)</f>
        <v>497447.81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108125.48</v>
      </c>
      <c r="D111" s="24" t="s">
        <v>289</v>
      </c>
      <c r="E111" s="95">
        <f>('DOE25'!L278)+('DOE25'!L297)+('DOE25'!L316)</f>
        <v>8944.42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274495.8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151316.69999999998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9194038.0700000003</v>
      </c>
      <c r="D115" s="86">
        <f>SUM(D109:D114)</f>
        <v>0</v>
      </c>
      <c r="E115" s="86">
        <f>SUM(E109:E114)</f>
        <v>740149.19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1300493.6099999999</v>
      </c>
      <c r="D118" s="24" t="s">
        <v>289</v>
      </c>
      <c r="E118" s="95">
        <f>+('DOE25'!L281)+('DOE25'!L300)+('DOE25'!L319)</f>
        <v>79690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274916.45999999996</v>
      </c>
      <c r="D119" s="24" t="s">
        <v>289</v>
      </c>
      <c r="E119" s="95">
        <f>+('DOE25'!L282)+('DOE25'!L301)+('DOE25'!L320)</f>
        <v>253694.08999999997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1016271.55</v>
      </c>
      <c r="D120" s="24" t="s">
        <v>289</v>
      </c>
      <c r="E120" s="95">
        <f>+('DOE25'!L283)+('DOE25'!L302)+('DOE25'!L321)</f>
        <v>146019.75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1025030.3500000001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776.49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1416815.1400000001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556106.96</v>
      </c>
      <c r="D124" s="24" t="s">
        <v>289</v>
      </c>
      <c r="E124" s="95">
        <f>+('DOE25'!L287)+('DOE25'!L306)+('DOE25'!L325)</f>
        <v>8220.3300000000017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340353.91000000003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498047.05000000005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5930764.4700000007</v>
      </c>
      <c r="D128" s="86">
        <f>SUM(D118:D127)</f>
        <v>498047.05000000005</v>
      </c>
      <c r="E128" s="86">
        <f>SUM(E118:E127)</f>
        <v>487624.17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77702.87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2154.3000000000002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2154.3000000000002</v>
      </c>
      <c r="D144" s="141">
        <f>SUM(D130:D143)</f>
        <v>0</v>
      </c>
      <c r="E144" s="141">
        <f>SUM(E130:E143)</f>
        <v>77702.87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15126956.840000002</v>
      </c>
      <c r="D145" s="86">
        <f>(D115+D128+D144)</f>
        <v>498047.05000000005</v>
      </c>
      <c r="E145" s="86">
        <f>(E115+E128+E144)</f>
        <v>1305476.23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02/2013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08/2018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194488.72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2.68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194488.72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194488.72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155546.88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155546.88</v>
      </c>
    </row>
    <row r="160" spans="1:9" x14ac:dyDescent="0.2">
      <c r="A160" s="22" t="s">
        <v>36</v>
      </c>
      <c r="B160" s="137">
        <f>'DOE25'!F499</f>
        <v>10559.4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10559.4</v>
      </c>
    </row>
    <row r="161" spans="1:7" x14ac:dyDescent="0.2">
      <c r="A161" s="22" t="s">
        <v>37</v>
      </c>
      <c r="B161" s="137">
        <f>'DOE25'!F500</f>
        <v>166106.28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166106.28</v>
      </c>
    </row>
    <row r="162" spans="1:7" x14ac:dyDescent="0.2">
      <c r="A162" s="22" t="s">
        <v>38</v>
      </c>
      <c r="B162" s="137">
        <f>'DOE25'!F501</f>
        <v>37357.910000000003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37357.910000000003</v>
      </c>
    </row>
    <row r="163" spans="1:7" x14ac:dyDescent="0.2">
      <c r="A163" s="22" t="s">
        <v>39</v>
      </c>
      <c r="B163" s="137">
        <f>'DOE25'!F502</f>
        <v>4168.66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4168.66</v>
      </c>
    </row>
    <row r="164" spans="1:7" x14ac:dyDescent="0.2">
      <c r="A164" s="22" t="s">
        <v>246</v>
      </c>
      <c r="B164" s="137">
        <f>'DOE25'!F503</f>
        <v>41526.570000000007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41526.570000000007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FARMINGTON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13226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12498</v>
      </c>
    </row>
    <row r="7" spans="1:4" x14ac:dyDescent="0.2">
      <c r="B7" t="s">
        <v>705</v>
      </c>
      <c r="C7" s="179">
        <f>IF('DOE25'!I665+'DOE25'!I670=0,0,ROUND('DOE25'!I672,0))</f>
        <v>12983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5576188</v>
      </c>
      <c r="D10" s="182">
        <f>ROUND((C10/$C$28)*100,1)</f>
        <v>33.4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3815117</v>
      </c>
      <c r="D11" s="182">
        <f>ROUND((C11/$C$28)*100,1)</f>
        <v>22.9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117070</v>
      </c>
      <c r="D12" s="182">
        <f>ROUND((C12/$C$28)*100,1)</f>
        <v>0.7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274496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1380184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528611</v>
      </c>
      <c r="D16" s="182">
        <f t="shared" si="0"/>
        <v>3.2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1502645</v>
      </c>
      <c r="D17" s="182">
        <f t="shared" si="0"/>
        <v>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1025030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776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1416815</v>
      </c>
      <c r="D20" s="182">
        <f t="shared" si="0"/>
        <v>8.5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564327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151317</v>
      </c>
      <c r="D24" s="182">
        <f t="shared" si="0"/>
        <v>0.9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336169.52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16688745.52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16688745.52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4638860</v>
      </c>
      <c r="D35" s="182">
        <f t="shared" ref="D35:D40" si="1">ROUND((C35/$C$41)*100,1)</f>
        <v>27.3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2879769.4800000004</v>
      </c>
      <c r="D36" s="182">
        <f t="shared" si="1"/>
        <v>16.899999999999999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7405529</v>
      </c>
      <c r="D37" s="182">
        <f t="shared" si="1"/>
        <v>43.6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156881</v>
      </c>
      <c r="D38" s="182">
        <f t="shared" si="1"/>
        <v>0.9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1912857</v>
      </c>
      <c r="D39" s="182">
        <f t="shared" si="1"/>
        <v>11.3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16993896.48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770</v>
      </c>
      <c r="B1" s="292"/>
      <c r="C1" s="292"/>
      <c r="D1" s="292"/>
      <c r="E1" s="292"/>
      <c r="F1" s="292"/>
      <c r="G1" s="292"/>
      <c r="H1" s="292"/>
      <c r="I1" s="292"/>
      <c r="J1" s="213"/>
      <c r="K1" s="213"/>
      <c r="L1" s="213"/>
      <c r="M1" s="214"/>
    </row>
    <row r="2" spans="1:26" ht="12.75" x14ac:dyDescent="0.2">
      <c r="A2" s="297" t="s">
        <v>767</v>
      </c>
      <c r="B2" s="298"/>
      <c r="C2" s="298"/>
      <c r="D2" s="298"/>
      <c r="E2" s="298"/>
      <c r="F2" s="295" t="str">
        <f>'DOE25'!A2</f>
        <v>FARMINGTON</v>
      </c>
      <c r="G2" s="296"/>
      <c r="H2" s="296"/>
      <c r="I2" s="296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3" t="s">
        <v>771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A70A" sheet="1" objects="1" scenarios="1"/>
  <mergeCells count="223">
    <mergeCell ref="P40:Z40"/>
    <mergeCell ref="AC40:AM40"/>
    <mergeCell ref="IP40:IV40"/>
    <mergeCell ref="C45:M45"/>
    <mergeCell ref="IC40:IM40"/>
    <mergeCell ref="BP40:BZ40"/>
    <mergeCell ref="FC40:FM40"/>
    <mergeCell ref="FP40:FZ40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CC40:CM40"/>
    <mergeCell ref="CP40:CZ40"/>
    <mergeCell ref="DC40:DM40"/>
    <mergeCell ref="EP40:EZ40"/>
    <mergeCell ref="P38:Z38"/>
    <mergeCell ref="AC38:AM38"/>
    <mergeCell ref="AP38:AZ38"/>
    <mergeCell ref="BP39:BZ39"/>
    <mergeCell ref="CC39:CM39"/>
    <mergeCell ref="CP39:CZ39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2:HZ32"/>
    <mergeCell ref="EC32:EM32"/>
    <mergeCell ref="EP32:EZ32"/>
    <mergeCell ref="FC32:FM32"/>
    <mergeCell ref="AC32:AM32"/>
    <mergeCell ref="AP32:AZ32"/>
    <mergeCell ref="BP32:B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FP29:FZ29"/>
    <mergeCell ref="GC29:GM29"/>
    <mergeCell ref="GP29:GZ29"/>
    <mergeCell ref="HC29:H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DP29:DZ29"/>
    <mergeCell ref="DC29:DM29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5:M15"/>
    <mergeCell ref="C16:M16"/>
    <mergeCell ref="C17:M17"/>
    <mergeCell ref="C18:M18"/>
    <mergeCell ref="C19:M19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2014-10-28T12:02:39Z</cp:lastPrinted>
  <dcterms:created xsi:type="dcterms:W3CDTF">1997-12-04T19:04:30Z</dcterms:created>
  <dcterms:modified xsi:type="dcterms:W3CDTF">2014-12-05T16:03:30Z</dcterms:modified>
</cp:coreProperties>
</file>