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G502" i="1" l="1"/>
  <c r="G499" i="1"/>
  <c r="G498" i="1"/>
  <c r="F502" i="1"/>
  <c r="F499" i="1"/>
  <c r="F498" i="1"/>
  <c r="J592" i="1" l="1"/>
  <c r="I592" i="1"/>
  <c r="H591" i="1"/>
  <c r="H592" i="1"/>
  <c r="F578" i="1"/>
  <c r="H583" i="1"/>
  <c r="H578" i="1"/>
  <c r="H575" i="1"/>
  <c r="G583" i="1"/>
  <c r="G578" i="1"/>
  <c r="K261" i="1"/>
  <c r="K260" i="1"/>
  <c r="G97" i="1"/>
  <c r="G158" i="1"/>
  <c r="G13" i="1"/>
  <c r="G16" i="1"/>
  <c r="G9" i="1"/>
  <c r="F28" i="1"/>
  <c r="F13" i="1"/>
  <c r="F12" i="1"/>
  <c r="F9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C112" i="2" s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G662" i="1" s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E112" i="2" s="1"/>
  <c r="L281" i="1"/>
  <c r="E118" i="2" s="1"/>
  <c r="L282" i="1"/>
  <c r="L283" i="1"/>
  <c r="L284" i="1"/>
  <c r="L285" i="1"/>
  <c r="E122" i="2" s="1"/>
  <c r="L286" i="1"/>
  <c r="L287" i="1"/>
  <c r="L288" i="1"/>
  <c r="E125" i="2" s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E119" i="2" s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L611" i="1"/>
  <c r="F663" i="1" s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C85" i="2" s="1"/>
  <c r="F162" i="1"/>
  <c r="G147" i="1"/>
  <c r="D85" i="2" s="1"/>
  <c r="D91" i="2" s="1"/>
  <c r="G162" i="1"/>
  <c r="H147" i="1"/>
  <c r="H169" i="1" s="1"/>
  <c r="H162" i="1"/>
  <c r="I147" i="1"/>
  <c r="I162" i="1"/>
  <c r="C12" i="10"/>
  <c r="C13" i="10"/>
  <c r="L250" i="1"/>
  <c r="L332" i="1"/>
  <c r="L254" i="1"/>
  <c r="L268" i="1"/>
  <c r="C26" i="10" s="1"/>
  <c r="L269" i="1"/>
  <c r="L349" i="1"/>
  <c r="E142" i="2" s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I456" i="1"/>
  <c r="J43" i="1" s="1"/>
  <c r="I457" i="1"/>
  <c r="J37" i="1" s="1"/>
  <c r="I459" i="1"/>
  <c r="J48" i="1" s="1"/>
  <c r="G47" i="2" s="1"/>
  <c r="E56" i="2"/>
  <c r="F56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D115" i="2"/>
  <c r="F115" i="2"/>
  <c r="G115" i="2"/>
  <c r="E120" i="2"/>
  <c r="E121" i="2"/>
  <c r="E124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F461" i="1" s="1"/>
  <c r="H639" i="1" s="1"/>
  <c r="G452" i="1"/>
  <c r="H452" i="1"/>
  <c r="F460" i="1"/>
  <c r="G460" i="1"/>
  <c r="H460" i="1"/>
  <c r="G461" i="1"/>
  <c r="H640" i="1" s="1"/>
  <c r="H461" i="1"/>
  <c r="H641" i="1" s="1"/>
  <c r="H470" i="1"/>
  <c r="H476" i="1" s="1"/>
  <c r="H624" i="1" s="1"/>
  <c r="I470" i="1"/>
  <c r="J470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I571" i="1" s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0" i="1"/>
  <c r="G623" i="1"/>
  <c r="G625" i="1"/>
  <c r="H629" i="1"/>
  <c r="H630" i="1"/>
  <c r="H631" i="1"/>
  <c r="H633" i="1"/>
  <c r="H636" i="1"/>
  <c r="H637" i="1"/>
  <c r="H638" i="1"/>
  <c r="G640" i="1"/>
  <c r="G641" i="1"/>
  <c r="G643" i="1"/>
  <c r="J643" i="1" s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G164" i="2"/>
  <c r="L351" i="1"/>
  <c r="L290" i="1"/>
  <c r="D17" i="13"/>
  <c r="C17" i="13" s="1"/>
  <c r="G157" i="2"/>
  <c r="F18" i="2"/>
  <c r="G62" i="2"/>
  <c r="D19" i="13"/>
  <c r="C19" i="13" s="1"/>
  <c r="E78" i="2"/>
  <c r="L427" i="1"/>
  <c r="H112" i="1"/>
  <c r="K571" i="1"/>
  <c r="D81" i="2"/>
  <c r="I169" i="1"/>
  <c r="J476" i="1"/>
  <c r="H626" i="1" s="1"/>
  <c r="I476" i="1"/>
  <c r="H625" i="1" s="1"/>
  <c r="J625" i="1" s="1"/>
  <c r="G338" i="1"/>
  <c r="G352" i="1" s="1"/>
  <c r="F169" i="1"/>
  <c r="G22" i="2"/>
  <c r="J552" i="1"/>
  <c r="L401" i="1"/>
  <c r="C139" i="2" s="1"/>
  <c r="L560" i="1"/>
  <c r="H338" i="1"/>
  <c r="H352" i="1" s="1"/>
  <c r="G192" i="1"/>
  <c r="H192" i="1"/>
  <c r="J655" i="1"/>
  <c r="J645" i="1"/>
  <c r="G36" i="2"/>
  <c r="E128" i="2" l="1"/>
  <c r="F130" i="2"/>
  <c r="F144" i="2" s="1"/>
  <c r="F145" i="2" s="1"/>
  <c r="G663" i="1"/>
  <c r="I663" i="1" s="1"/>
  <c r="L614" i="1"/>
  <c r="E131" i="2"/>
  <c r="E144" i="2" s="1"/>
  <c r="C32" i="10"/>
  <c r="E123" i="2"/>
  <c r="J641" i="1"/>
  <c r="J49" i="1"/>
  <c r="G48" i="2" s="1"/>
  <c r="I460" i="1"/>
  <c r="J22" i="1"/>
  <c r="J32" i="1" s="1"/>
  <c r="I452" i="1"/>
  <c r="J10" i="1"/>
  <c r="G9" i="2" s="1"/>
  <c r="G18" i="2" s="1"/>
  <c r="I446" i="1"/>
  <c r="G642" i="1" s="1"/>
  <c r="A31" i="12"/>
  <c r="E114" i="2"/>
  <c r="L328" i="1"/>
  <c r="L338" i="1" s="1"/>
  <c r="L352" i="1" s="1"/>
  <c r="G633" i="1" s="1"/>
  <c r="J633" i="1" s="1"/>
  <c r="H52" i="1"/>
  <c r="H619" i="1" s="1"/>
  <c r="G624" i="1"/>
  <c r="B161" i="2"/>
  <c r="G161" i="2" s="1"/>
  <c r="K500" i="1"/>
  <c r="E62" i="2"/>
  <c r="E63" i="2" s="1"/>
  <c r="D31" i="2"/>
  <c r="E31" i="2"/>
  <c r="L270" i="1"/>
  <c r="C29" i="10"/>
  <c r="F571" i="1"/>
  <c r="J624" i="1"/>
  <c r="J639" i="1"/>
  <c r="F81" i="2"/>
  <c r="K352" i="1"/>
  <c r="L256" i="1"/>
  <c r="G156" i="2"/>
  <c r="A40" i="12"/>
  <c r="E81" i="2"/>
  <c r="L544" i="1"/>
  <c r="L382" i="1"/>
  <c r="G636" i="1" s="1"/>
  <c r="J636" i="1" s="1"/>
  <c r="J338" i="1"/>
  <c r="J352" i="1" s="1"/>
  <c r="E109" i="2"/>
  <c r="G112" i="1"/>
  <c r="D7" i="13"/>
  <c r="C7" i="13" s="1"/>
  <c r="E16" i="13"/>
  <c r="C16" i="13" s="1"/>
  <c r="C35" i="10"/>
  <c r="F22" i="13"/>
  <c r="C22" i="13" s="1"/>
  <c r="E13" i="13"/>
  <c r="C13" i="13" s="1"/>
  <c r="G649" i="1"/>
  <c r="I545" i="1"/>
  <c r="I52" i="1"/>
  <c r="H620" i="1" s="1"/>
  <c r="C122" i="2"/>
  <c r="D50" i="2"/>
  <c r="A13" i="12"/>
  <c r="K545" i="1"/>
  <c r="J545" i="1"/>
  <c r="G545" i="1"/>
  <c r="H552" i="1"/>
  <c r="K551" i="1"/>
  <c r="I552" i="1"/>
  <c r="K550" i="1"/>
  <c r="L539" i="1"/>
  <c r="H545" i="1"/>
  <c r="L534" i="1"/>
  <c r="L529" i="1"/>
  <c r="G552" i="1"/>
  <c r="F552" i="1"/>
  <c r="K549" i="1"/>
  <c r="L524" i="1"/>
  <c r="K503" i="1"/>
  <c r="J640" i="1"/>
  <c r="J651" i="1"/>
  <c r="K598" i="1"/>
  <c r="G647" i="1" s="1"/>
  <c r="J649" i="1"/>
  <c r="J634" i="1"/>
  <c r="H661" i="1"/>
  <c r="D29" i="13"/>
  <c r="C29" i="13" s="1"/>
  <c r="F661" i="1"/>
  <c r="L362" i="1"/>
  <c r="D127" i="2"/>
  <c r="D128" i="2" s="1"/>
  <c r="D145" i="2" s="1"/>
  <c r="G661" i="1"/>
  <c r="H25" i="13"/>
  <c r="C125" i="2"/>
  <c r="C124" i="2"/>
  <c r="H647" i="1"/>
  <c r="C21" i="10"/>
  <c r="D15" i="13"/>
  <c r="C15" i="13" s="1"/>
  <c r="I662" i="1"/>
  <c r="D14" i="13"/>
  <c r="C14" i="13" s="1"/>
  <c r="C123" i="2"/>
  <c r="C20" i="10"/>
  <c r="C18" i="10"/>
  <c r="C121" i="2"/>
  <c r="D12" i="13"/>
  <c r="C12" i="13" s="1"/>
  <c r="E8" i="13"/>
  <c r="C8" i="13" s="1"/>
  <c r="C120" i="2"/>
  <c r="C17" i="10"/>
  <c r="C119" i="2"/>
  <c r="C16" i="10"/>
  <c r="C15" i="10"/>
  <c r="D6" i="13"/>
  <c r="C6" i="13" s="1"/>
  <c r="J257" i="1"/>
  <c r="J271" i="1" s="1"/>
  <c r="L247" i="1"/>
  <c r="K257" i="1"/>
  <c r="K271" i="1" s="1"/>
  <c r="C11" i="10"/>
  <c r="L229" i="1"/>
  <c r="G660" i="1" s="1"/>
  <c r="L211" i="1"/>
  <c r="F660" i="1" s="1"/>
  <c r="C110" i="2"/>
  <c r="H257" i="1"/>
  <c r="H271" i="1" s="1"/>
  <c r="G257" i="1"/>
  <c r="G271" i="1" s="1"/>
  <c r="F257" i="1"/>
  <c r="F271" i="1" s="1"/>
  <c r="I257" i="1"/>
  <c r="I271" i="1" s="1"/>
  <c r="C109" i="2"/>
  <c r="D5" i="13"/>
  <c r="C5" i="13" s="1"/>
  <c r="D62" i="2"/>
  <c r="D63" i="2" s="1"/>
  <c r="D18" i="2"/>
  <c r="C78" i="2"/>
  <c r="C70" i="2"/>
  <c r="C62" i="2"/>
  <c r="C63" i="2" s="1"/>
  <c r="F112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G21" i="2"/>
  <c r="G31" i="2" s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G50" i="2" s="1"/>
  <c r="G51" i="2" s="1"/>
  <c r="J51" i="1"/>
  <c r="G16" i="2"/>
  <c r="F33" i="13"/>
  <c r="D31" i="13"/>
  <c r="C31" i="13" s="1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E104" i="2"/>
  <c r="H660" i="1" l="1"/>
  <c r="H664" i="1" s="1"/>
  <c r="H672" i="1" s="1"/>
  <c r="C6" i="10" s="1"/>
  <c r="G635" i="1"/>
  <c r="G472" i="1"/>
  <c r="D104" i="2"/>
  <c r="J19" i="1"/>
  <c r="G621" i="1" s="1"/>
  <c r="E115" i="2"/>
  <c r="E145" i="2" s="1"/>
  <c r="H646" i="1"/>
  <c r="J646" i="1" s="1"/>
  <c r="G104" i="2"/>
  <c r="C36" i="10"/>
  <c r="J647" i="1"/>
  <c r="I461" i="1"/>
  <c r="H642" i="1" s="1"/>
  <c r="J642" i="1" s="1"/>
  <c r="C81" i="2"/>
  <c r="K552" i="1"/>
  <c r="L545" i="1"/>
  <c r="G664" i="1"/>
  <c r="G672" i="1" s="1"/>
  <c r="C5" i="10" s="1"/>
  <c r="I661" i="1"/>
  <c r="C27" i="10"/>
  <c r="C28" i="10" s="1"/>
  <c r="D19" i="10" s="1"/>
  <c r="C25" i="13"/>
  <c r="H33" i="13"/>
  <c r="E33" i="13"/>
  <c r="D35" i="13" s="1"/>
  <c r="C128" i="2"/>
  <c r="H648" i="1"/>
  <c r="J648" i="1" s="1"/>
  <c r="L257" i="1"/>
  <c r="L271" i="1" s="1"/>
  <c r="C115" i="2"/>
  <c r="I660" i="1"/>
  <c r="F664" i="1"/>
  <c r="F672" i="1" s="1"/>
  <c r="C4" i="10" s="1"/>
  <c r="C104" i="2"/>
  <c r="F193" i="1"/>
  <c r="G631" i="1"/>
  <c r="J631" i="1" s="1"/>
  <c r="D33" i="13"/>
  <c r="D36" i="13" s="1"/>
  <c r="G193" i="1"/>
  <c r="G626" i="1"/>
  <c r="J626" i="1" s="1"/>
  <c r="J52" i="1"/>
  <c r="H621" i="1" s="1"/>
  <c r="J621" i="1" s="1"/>
  <c r="C38" i="10"/>
  <c r="H667" i="1" l="1"/>
  <c r="H635" i="1"/>
  <c r="G474" i="1"/>
  <c r="G632" i="1"/>
  <c r="F472" i="1"/>
  <c r="J635" i="1"/>
  <c r="G628" i="1"/>
  <c r="G468" i="1"/>
  <c r="G627" i="1"/>
  <c r="F468" i="1"/>
  <c r="I664" i="1"/>
  <c r="I672" i="1" s="1"/>
  <c r="C7" i="10" s="1"/>
  <c r="G667" i="1"/>
  <c r="C145" i="2"/>
  <c r="D27" i="10"/>
  <c r="D18" i="10"/>
  <c r="D21" i="10"/>
  <c r="D22" i="10"/>
  <c r="D24" i="10"/>
  <c r="C30" i="10"/>
  <c r="D26" i="10"/>
  <c r="D10" i="10"/>
  <c r="D11" i="10"/>
  <c r="D23" i="10"/>
  <c r="D13" i="10"/>
  <c r="D17" i="10"/>
  <c r="D16" i="10"/>
  <c r="D12" i="10"/>
  <c r="D20" i="10"/>
  <c r="D15" i="10"/>
  <c r="D25" i="10"/>
  <c r="F667" i="1"/>
  <c r="C41" i="10"/>
  <c r="D38" i="10" s="1"/>
  <c r="G476" i="1" l="1"/>
  <c r="H623" i="1" s="1"/>
  <c r="J623" i="1" s="1"/>
  <c r="F474" i="1"/>
  <c r="H632" i="1"/>
  <c r="J632" i="1" s="1"/>
  <c r="G470" i="1"/>
  <c r="H628" i="1"/>
  <c r="J628" i="1" s="1"/>
  <c r="H627" i="1"/>
  <c r="J627" i="1" s="1"/>
  <c r="F470" i="1"/>
  <c r="F476" i="1" s="1"/>
  <c r="H622" i="1" s="1"/>
  <c r="I667" i="1"/>
  <c r="D28" i="10"/>
  <c r="D37" i="10"/>
  <c r="D36" i="10"/>
  <c r="D35" i="10"/>
  <c r="D40" i="10"/>
  <c r="D39" i="10"/>
  <c r="D41" i="10" l="1"/>
  <c r="C49" i="2" l="1"/>
  <c r="C50" i="2"/>
  <c r="C51" i="2" s="1"/>
  <c r="F51" i="1"/>
  <c r="G622" i="1" s="1"/>
  <c r="J622" i="1" s="1"/>
  <c r="F52" i="1" l="1"/>
  <c r="H617" i="1" s="1"/>
  <c r="J617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<sst xmlns="http://schemas.openxmlformats.org/spreadsheetml/2006/main" count="3962" uniqueCount="920">
  <si>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</si>
  <si>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</si>
  <si>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</si>
  <si>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</si>
  <si>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</si>
  <si>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</si>
  <si>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</si>
  <si>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</si>
  <si>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</si>
  <si>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</si>
  <si>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</si>
  <si>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</si>
  <si>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</si>
  <si>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</si>
  <si>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</si>
  <si>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</si>
  <si>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</si>
  <si>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</si>
  <si>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</si>
  <si>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</si>
  <si>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</si>
  <si>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</si>
  <si>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</si>
  <si>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</si>
  <si>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</si>
  <si>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</si>
  <si>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</si>
  <si>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</si>
  <si>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</si>
  <si>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</si>
  <si>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</si>
  <si>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</si>
  <si>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</si>
  <si>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</si>
  <si>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</si>
  <si>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</si>
  <si>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</si>
  <si>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</si>
  <si>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</si>
  <si>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</si>
  <si>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</si>
  <si>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</si>
  <si>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</si>
  <si>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</si>
  <si>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</si>
  <si>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</si>
  <si>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</si>
  <si>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</si>
  <si>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</si>
  <si>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</si>
  <si>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</si>
  <si>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</si>
  <si>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</si>
  <si>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</si>
  <si>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</si>
  <si>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</si>
  <si>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</si>
  <si>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</si>
  <si>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</si>
  <si>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</si>
  <si>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</si>
  <si>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</si>
  <si>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</si>
  <si>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</si>
  <si>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</si>
  <si>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</si>
  <si>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</si>
  <si>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</si>
  <si>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</si>
  <si>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</si>
  <si>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</si>
  <si>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</si>
  <si>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</si>
  <si>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</si>
  <si>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</si>
  <si>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</si>
  <si>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</si>
  <si>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</si>
  <si>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</si>
  <si>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</si>
  <si>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</si>
  <si>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</si>
  <si>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</si>
  <si>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</si>
  <si>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</si>
  <si>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</si>
  <si>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</si>
  <si>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</si>
  <si>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</si>
  <si>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</si>
  <si>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</si>
  <si>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</si>
  <si>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</si>
  <si>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</si>
  <si>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</si>
  <si>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</si>
  <si>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</si>
  <si>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</si>
  <si>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</si>
  <si>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</si>
  <si>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</si>
  <si>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</si>
  <si>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</si>
  <si>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</si>
  <si>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</si>
  <si>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</si>
  <si>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</si>
  <si>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</si>
  <si>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</si>
  <si>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</si>
  <si>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</si>
  <si>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</si>
  <si>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</si>
  <si>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</si>
  <si>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</si>
  <si>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</si>
  <si>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</si>
  <si>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</si>
  <si>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</si>
  <si>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</si>
  <si>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</si>
  <si>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</si>
  <si>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</si>
  <si>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</si>
  <si>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</si>
  <si>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</si>
  <si>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</si>
  <si>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</si>
  <si>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</si>
  <si>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</si>
  <si>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</si>
  <si>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</si>
  <si>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</si>
  <si>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</si>
  <si>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</si>
  <si>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</si>
  <si>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</si>
  <si>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</si>
  <si>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</si>
  <si>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</si>
  <si>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</si>
  <si>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</si>
  <si>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</si>
  <si>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</si>
  <si>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</si>
  <si>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</si>
  <si>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</si>
  <si>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</si>
  <si>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</si>
  <si>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</si>
  <si>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</si>
  <si>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</si>
  <si>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</si>
  <si>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</si>
  <si>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</si>
  <si>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</si>
  <si>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</si>
  <si>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</si>
  <si>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</si>
  <si>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</si>
  <si>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</si>
  <si>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</si>
  <si>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</si>
  <si>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</si>
  <si>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</si>
  <si>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</si>
  <si>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</si>
  <si>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</si>
  <si>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</si>
  <si>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</si>
  <si>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</si>
  <si>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</si>
  <si>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</si>
  <si>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</si>
  <si>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</si>
  <si>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</si>
  <si>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</si>
  <si>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</si>
  <si>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</si>
  <si>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</si>
  <si>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</si>
  <si>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</si>
  <si>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</si>
  <si>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</si>
  <si>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</si>
  <si>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</si>
  <si>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</si>
  <si>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</si>
  <si>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</si>
  <si>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</si>
  <si>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</si>
  <si>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</si>
  <si>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</si>
  <si>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</si>
  <si>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</si>
  <si>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</si>
  <si>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</si>
  <si>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</si>
  <si>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</si>
  <si>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</si>
  <si>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</si>
  <si>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</si>
  <si>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</si>
  <si>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</si>
  <si>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</si>
  <si>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</si>
  <si>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</si>
  <si>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</si>
  <si>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</si>
  <si>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</si>
  <si>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</si>
  <si>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</si>
  <si>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</si>
  <si>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</si>
  <si>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</si>
  <si>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</si>
  <si>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</si>
  <si>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</si>
  <si>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</si>
  <si>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</si>
  <si>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</si>
  <si>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</si>
  <si>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</si>
  <si>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</si>
  <si>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</si>
  <si>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</si>
  <si>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</si>
  <si>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</si>
  <si>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</si>
  <si>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</si>
  <si>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</si>
  <si>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</si>
  <si>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</si>
  <si>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</si>
  <si>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</si>
  <si>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</si>
  <si>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</si>
  <si>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</si>
  <si>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</si>
  <si>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</si>
  <si>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</si>
  <si>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</si>
  <si>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</si>
  <si>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</si>
  <si>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</si>
  <si>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</si>
  <si>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</si>
  <si>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</si>
  <si>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</si>
  <si>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</si>
  <si>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</si>
  <si>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</si>
  <si>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</si>
  <si>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</si>
  <si>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</si>
  <si>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</si>
  <si>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</si>
  <si>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</si>
  <si>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</si>
  <si>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</si>
  <si>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</si>
  <si>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</si>
  <si>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</si>
  <si>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</si>
  <si>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</si>
  <si>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</si>
  <si>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</si>
  <si>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</si>
  <si>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</si>
  <si>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</si>
  <si>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</si>
  <si>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</si>
  <si>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</si>
  <si>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</si>
  <si>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</si>
  <si>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</si>
  <si>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</si>
  <si>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</si>
  <si>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</si>
  <si>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</si>
  <si>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</si>
  <si>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</si>
  <si>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</si>
  <si>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</si>
  <si>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</si>
  <si>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</si>
  <si>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</si>
  <si>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</si>
  <si>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</si>
  <si>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</si>
  <si>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</si>
  <si>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</si>
  <si>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</si>
  <si>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</si>
  <si>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</si>
  <si>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</si>
  <si>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</si>
  <si>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</si>
  <si>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</si>
  <si>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</si>
  <si>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</si>
  <si>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</si>
  <si>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</si>
  <si>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</si>
  <si>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</si>
  <si>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</si>
  <si>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</si>
  <si>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</si>
  <si>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</si>
  <si>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</si>
  <si>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</si>
  <si>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</si>
  <si>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</si>
  <si>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</si>
  <si>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</si>
  <si>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</si>
  <si>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</si>
  <si>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</si>
  <si>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</si>
  <si>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</si>
  <si>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</si>
  <si>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</si>
  <si>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</si>
  <si>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</si>
  <si>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</si>
  <si>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</si>
  <si>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</si>
  <si>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</si>
  <si>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</si>
  <si>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</si>
  <si>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</si>
  <si>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</si>
  <si>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</si>
  <si>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</si>
  <si>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</si>
  <si>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</si>
  <si>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</si>
  <si>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</si>
  <si>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</si>
  <si>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</si>
  <si>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</si>
  <si>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</si>
  <si>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</si>
  <si>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</si>
  <si>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</si>
  <si>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</si>
  <si>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</si>
  <si>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</si>
  <si>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</si>
  <si>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</si>
  <si>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</si>
  <si>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</si>
  <si>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</si>
  <si>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</si>
  <si>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</si>
  <si>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</si>
  <si>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</si>
  <si>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</si>
  <si>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</si>
  <si>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</si>
  <si>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</si>
  <si>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</si>
  <si>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</si>
  <si>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</si>
  <si>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</si>
  <si>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</si>
  <si>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</si>
  <si>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</si>
  <si>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</si>
  <si>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</si>
  <si>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</si>
  <si>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</si>
  <si>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</si>
  <si>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</si>
  <si>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</si>
  <si>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</si>
  <si>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</si>
  <si>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</si>
  <si>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</si>
  <si>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</si>
  <si>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</si>
  <si>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</si>
  <si>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</si>
  <si>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</si>
  <si>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</si>
  <si>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</si>
  <si>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</si>
  <si>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</si>
  <si>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</si>
  <si>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</si>
  <si>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</si>
  <si>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</si>
  <si>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</si>
  <si>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</si>
  <si>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</si>
  <si>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</si>
  <si>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</si>
  <si>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</si>
  <si>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</si>
  <si>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</si>
  <si>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</si>
  <si>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</si>
  <si>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</si>
  <si>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</si>
  <si>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</si>
  <si>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</si>
  <si>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</si>
  <si>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</si>
  <si>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</si>
  <si>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</si>
  <si>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</si>
  <si>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</si>
  <si>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</si>
  <si>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</si>
  <si>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</si>
  <si>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</si>
  <si>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</si>
  <si>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</si>
  <si>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</si>
  <si>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</si>
  <si>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</si>
  <si>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</si>
  <si>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</si>
  <si>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</si>
  <si>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</si>
  <si>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</si>
  <si>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</si>
  <si>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</si>
  <si>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</si>
  <si>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</si>
  <si>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</si>
  <si>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</si>
  <si>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</si>
  <si>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</si>
  <si>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</si>
  <si>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</si>
  <si>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</si>
  <si>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</si>
  <si>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</si>
  <si>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</si>
  <si>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</si>
  <si>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</si>
  <si>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</si>
  <si>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</si>
  <si>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</si>
  <si>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</si>
  <si>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</si>
  <si>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</si>
  <si>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</si>
  <si>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</si>
  <si>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</si>
  <si>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</si>
  <si>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</si>
  <si>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</si>
  <si>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</si>
  <si>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</si>
  <si>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</si>
  <si>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</si>
  <si>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</si>
  <si>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</si>
  <si>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</si>
  <si>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</si>
  <si>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</si>
  <si>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</si>
  <si>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</si>
  <si>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</si>
  <si>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</si>
  <si>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</si>
  <si>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</si>
  <si>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</si>
  <si>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</si>
  <si>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</si>
  <si>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</si>
  <si>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</si>
  <si>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</si>
  <si>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</si>
  <si>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</si>
  <si>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</si>
  <si>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</si>
  <si>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</si>
  <si>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</si>
  <si>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</si>
  <si>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</si>
  <si>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</si>
  <si>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</si>
  <si>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</si>
  <si>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</si>
  <si>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</si>
  <si>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</si>
  <si>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</si>
  <si>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</si>
  <si>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</si>
  <si>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</si>
  <si>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</si>
  <si>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</si>
  <si>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</si>
  <si>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</si>
  <si>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</si>
  <si>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</si>
  <si>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</si>
  <si>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</si>
  <si>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</si>
  <si>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</si>
  <si>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</si>
  <si>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</si>
  <si>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</si>
  <si>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</si>
  <si>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</si>
  <si>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</si>
  <si>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</si>
  <si>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</si>
  <si>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</si>
  <si>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</si>
  <si>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</si>
  <si>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</si>
  <si>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</si>
  <si>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</si>
  <si>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</si>
  <si>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</si>
  <si>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</si>
  <si>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</si>
  <si>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</si>
  <si>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</si>
  <si>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</si>
  <si>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</si>
  <si>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</si>
  <si>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</si>
  <si>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</si>
  <si>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</si>
  <si>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</si>
  <si>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</si>
  <si>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</si>
  <si>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</si>
  <si>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</si>
  <si>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</si>
  <si>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</si>
  <si>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</si>
  <si>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</si>
  <si>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</si>
  <si>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</si>
  <si>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</si>
  <si>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</si>
  <si>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</si>
  <si>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</si>
  <si>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</si>
  <si>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</si>
  <si>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</si>
  <si>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</si>
  <si>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</si>
  <si>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</si>
  <si>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</si>
  <si>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</si>
  <si>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</si>
  <si>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</si>
  <si>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</si>
  <si>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</si>
  <si>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</si>
  <si>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</si>
  <si>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</si>
  <si>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</si>
  <si>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</si>
  <si>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</si>
  <si>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</si>
  <si>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</si>
  <si>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</si>
  <si>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</si>
  <si>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</si>
  <si>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</si>
  <si>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</si>
  <si>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</si>
  <si>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</si>
  <si>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</si>
  <si>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</si>
  <si>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</si>
  <si>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</si>
  <si>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</si>
  <si>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</si>
  <si>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</si>
  <si>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</si>
  <si>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</si>
  <si>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</si>
  <si>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</si>
  <si>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</si>
  <si>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</si>
  <si>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</si>
  <si>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</si>
  <si>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</si>
  <si>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</si>
  <si>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</si>
  <si>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</si>
  <si>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</si>
  <si>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</si>
  <si>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</si>
  <si>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</si>
  <si>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</si>
  <si>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</si>
  <si>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</si>
  <si>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</si>
  <si>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</si>
  <si>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</si>
  <si>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</si>
  <si>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</si>
  <si>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</si>
  <si>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</si>
  <si>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</si>
  <si>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</si>
  <si>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</si>
  <si>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</si>
  <si>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</si>
  <si>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</si>
  <si>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</si>
  <si>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</si>
  <si>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</si>
  <si>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</si>
  <si>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</si>
  <si>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</si>
  <si>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</si>
  <si>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</si>
  <si>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</si>
  <si>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</si>
  <si>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</si>
  <si>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</si>
  <si>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</si>
  <si>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</si>
  <si>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</si>
  <si>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</si>
  <si>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</si>
  <si>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</si>
  <si>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</si>
  <si>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</si>
  <si>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</si>
  <si>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</si>
  <si>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</si>
  <si>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</si>
  <si>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</si>
  <si>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</si>
  <si>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</si>
  <si>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</si>
  <si>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</si>
  <si>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</si>
  <si>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</si>
  <si>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</si>
  <si>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</si>
  <si>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</si>
  <si>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</si>
  <si>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</si>
  <si>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</si>
  <si>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</si>
  <si>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</si>
  <si>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</si>
  <si>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</si>
  <si>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</si>
  <si>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</si>
  <si>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</si>
  <si>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</si>
  <si>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</si>
  <si>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</si>
  <si>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</si>
  <si>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</si>
  <si>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</si>
  <si>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</si>
  <si>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</si>
  <si>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</si>
  <si>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</si>
  <si>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</si>
  <si>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</si>
  <si>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</si>
  <si>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</si>
  <si>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</si>
  <si>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</si>
  <si>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</si>
  <si>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</si>
  <si>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</si>
  <si>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</si>
  <si>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</si>
  <si>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</si>
  <si>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</si>
  <si>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</si>
  <si>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</si>
  <si>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</si>
  <si>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</si>
  <si>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</si>
  <si>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</si>
  <si>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</si>
  <si>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</si>
  <si>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</si>
  <si>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</si>
  <si>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</si>
  <si>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</si>
  <si>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</si>
  <si>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</si>
  <si>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</si>
  <si>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</si>
  <si>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</si>
  <si>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</si>
  <si>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</si>
  <si>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</si>
  <si>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</si>
  <si>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</si>
  <si>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</si>
  <si>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</si>
  <si>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</si>
  <si>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</si>
  <si>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</si>
  <si>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</si>
  <si>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</si>
  <si>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</si>
  <si>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</si>
  <si>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</si>
  <si>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</si>
  <si>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</si>
  <si>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</si>
  <si>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</si>
  <si>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</si>
  <si>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</si>
  <si>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</si>
  <si>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</si>
  <si>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</si>
  <si>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</si>
  <si>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</si>
  <si>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</si>
  <si>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</si>
  <si>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</si>
  <si>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</si>
  <si>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</si>
  <si>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</si>
  <si>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</si>
  <si>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</si>
  <si>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</si>
  <si>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</si>
  <si>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</si>
  <si>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</si>
  <si>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</si>
  <si>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</si>
  <si>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</si>
  <si>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</si>
  <si>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</si>
  <si>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</si>
  <si>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</si>
  <si>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</si>
  <si>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</si>
  <si>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</si>
  <si>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</si>
  <si>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</si>
  <si>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</si>
  <si>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</si>
  <si>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</si>
  <si>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</si>
  <si>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</si>
  <si>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</si>
  <si>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</si>
  <si>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</si>
  <si>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</si>
  <si>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</si>
  <si>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</si>
  <si>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</si>
  <si>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</si>
  <si>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</si>
  <si>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</si>
  <si>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</si>
  <si>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</si>
  <si>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</si>
  <si>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</si>
  <si>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</si>
  <si>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</si>
  <si>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</si>
  <si>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</si>
  <si>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</si>
  <si>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</si>
  <si>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</si>
  <si>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</si>
  <si>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</si>
  <si>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</si>
  <si>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</si>
  <si>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</si>
  <si>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</si>
  <si>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</si>
  <si>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</si>
  <si>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</si>
  <si>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</si>
  <si>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</si>
  <si>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</si>
  <si>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</si>
  <si>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</si>
  <si>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</si>
  <si>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</si>
  <si>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</si>
  <si>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</si>
  <si>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</si>
  <si>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</si>
  <si>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</si>
  <si>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</si>
  <si>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</si>
  <si>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</si>
  <si>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</si>
  <si>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</si>
  <si>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</si>
  <si>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</si>
  <si>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</si>
  <si>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</si>
  <si>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</si>
  <si>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</si>
  <si>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</si>
  <si>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</si>
  <si>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</si>
  <si>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</si>
  <si>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</si>
  <si>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</si>
  <si>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</si>
  <si>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</si>
  <si>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</si>
  <si>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</si>
  <si>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</si>
  <si>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</si>
  <si>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</si>
  <si>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</si>
  <si>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</si>
  <si>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</si>
  <si>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</si>
  <si>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</si>
  <si>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</si>
  <si>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</si>
  <si>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</si>
  <si>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</si>
  <si>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</si>
  <si>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</si>
  <si>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</si>
  <si>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</si>
  <si>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</si>
  <si>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</si>
  <si>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</si>
  <si>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</si>
  <si>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</si>
  <si>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</si>
  <si>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</si>
  <si>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</si>
  <si>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</si>
  <si>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</si>
  <si>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</si>
  <si>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</si>
  <si>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</si>
  <si>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</si>
  <si>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</si>
  <si>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</si>
  <si>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</si>
  <si>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</si>
  <si>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</si>
  <si>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</si>
  <si>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</si>
  <si>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</si>
  <si>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</si>
  <si>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</si>
  <si>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</si>
  <si>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</si>
  <si>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</si>
  <si>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</si>
  <si>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</si>
  <si>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</si>
  <si>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</si>
  <si>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</si>
  <si>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</si>
  <si>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</si>
  <si>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</si>
  <si>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</si>
  <si>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</si>
  <si>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</si>
  <si>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</si>
  <si>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</si>
  <si>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</si>
  <si>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</si>
  <si>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</si>
  <si>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</si>
  <si>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</si>
  <si>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</si>
  <si>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</si>
  <si>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</si>
  <si>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</si>
  <si>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</si>
  <si>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</si>
  <si>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</si>
  <si>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</si>
  <si>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</si>
  <si>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</si>
  <si>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</si>
  <si>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</si>
  <si>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</si>
  <si>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</si>
  <si>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</si>
  <si>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</si>
  <si>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</si>
  <si>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</si>
  <si>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</si>
  <si>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</si>
  <si>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</si>
  <si>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</si>
  <si>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</si>
  <si>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</si>
  <si>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</si>
  <si>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</si>
  <si>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</si>
  <si>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</si>
  <si>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</si>
  <si>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</si>
  <si>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</si>
  <si>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</si>
  <si>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</si>
  <si>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</si>
  <si>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</si>
  <si>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</si>
  <si>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</si>
  <si>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</si>
  <si>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Franklin</t>
  </si>
  <si>
    <t>8/99</t>
  </si>
  <si>
    <t>8/19</t>
  </si>
  <si>
    <t>05/06</t>
  </si>
  <si>
    <t>05/26</t>
  </si>
  <si>
    <t xml:space="preserve">The addition Is the result of getting audit work caught up and adjusting differences from reported amounts for food service </t>
  </si>
  <si>
    <t xml:space="preserve">The reduction Is the result of getting audit work caught up and adjusting differences from reported amounts for general service </t>
  </si>
  <si>
    <t>in the amount of $28,296, this was due to additional revenue collected from prior years audits..</t>
  </si>
  <si>
    <t>in the amount of $113,883, this was the result of over reported and estimated receivables over the past three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</si>
</sst>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185</v>
      </c>
      <c r="C2" s="21">
        <v>185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1191+100+100+150+200+45718</f>
        <v>47459</v>
      </c>
      <c r="G9" s="18">
        <f>80553+317</f>
        <v>80870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261954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1367573-581511</f>
        <v>786062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273010+425618-476189</f>
        <v>222439</v>
      </c>
      <c r="G13" s="18">
        <f>3579+705642</f>
        <v>709221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f>8463+5296</f>
        <v>13759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1056174</v>
      </c>
      <c r="G19" s="41">
        <f>SUM(G9:G18)</f>
        <v>803850</v>
      </c>
      <c r="H19" s="41">
        <f>SUM(H9:H18)</f>
        <v>0</v>
      </c>
      <c r="I19" s="41">
        <f>SUM(I9:I18)</f>
        <v>0</v>
      </c>
      <c r="J19" s="41">
        <f>SUM(J9:J18)</f>
        <v>261954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786062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35230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264314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19500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25645</f>
        <v>25645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344689</v>
      </c>
      <c r="G32" s="41">
        <f>SUM(G22:G31)</f>
        <v>786062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13759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251402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200000</v>
      </c>
      <c r="G48" s="18">
        <v>4029</v>
      </c>
      <c r="H48" s="18"/>
      <c r="I48" s="18"/>
      <c r="J48" s="13">
        <f>SUM(I459)</f>
        <v>261954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260083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711485</v>
      </c>
      <c r="G51" s="41">
        <f>SUM(G35:G50)</f>
        <v>17788</v>
      </c>
      <c r="H51" s="41">
        <f>SUM(H35:H50)</f>
        <v>0</v>
      </c>
      <c r="I51" s="41">
        <f>SUM(I35:I50)</f>
        <v>0</v>
      </c>
      <c r="J51" s="41">
        <f>SUM(J35:J50)</f>
        <v>261954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1056174</v>
      </c>
      <c r="G52" s="41">
        <f>G51+G32</f>
        <v>803850</v>
      </c>
      <c r="H52" s="41">
        <f>H51+H32</f>
        <v>0</v>
      </c>
      <c r="I52" s="41">
        <f>I51+I32</f>
        <v>0</v>
      </c>
      <c r="J52" s="41">
        <f>J51+J32</f>
        <v>261954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3299945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3299945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617971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31116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649087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3960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3960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40</v>
      </c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78080+6257+7900+62552+7557+20</f>
        <v>162366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10336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>
        <v>5576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23546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13343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51225</v>
      </c>
      <c r="G111" s="41">
        <f>SUM(G96:G110)</f>
        <v>167982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4004217</v>
      </c>
      <c r="G112" s="41">
        <f>G60+G111</f>
        <v>167982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8079188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1334615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9413803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181944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245779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11133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1413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438856</v>
      </c>
      <c r="G136" s="41">
        <f>SUM(G123:G135)</f>
        <v>1413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9852659</v>
      </c>
      <c r="G140" s="41">
        <f>G121+SUM(G136:G137)</f>
        <v>1413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303891+81564+14413</f>
        <v>399868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246781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246781</v>
      </c>
      <c r="G162" s="41">
        <f>SUM(G150:G161)</f>
        <v>399868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246781</v>
      </c>
      <c r="G169" s="41">
        <f>G147+G162+SUM(G163:G168)</f>
        <v>399868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14103657</v>
      </c>
      <c r="G193" s="47">
        <f>G112+G140+G169+G192</f>
        <v>569263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1140196</v>
      </c>
      <c r="G197" s="18">
        <v>417765</v>
      </c>
      <c r="H197" s="18">
        <v>29080</v>
      </c>
      <c r="I197" s="18">
        <v>51537</v>
      </c>
      <c r="J197" s="18">
        <v>494</v>
      </c>
      <c r="K197" s="18"/>
      <c r="L197" s="19">
        <f>SUM(F197:K197)</f>
        <v>1639072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514986</v>
      </c>
      <c r="G198" s="18">
        <v>210107</v>
      </c>
      <c r="H198" s="18">
        <v>41166</v>
      </c>
      <c r="I198" s="18">
        <v>4933</v>
      </c>
      <c r="J198" s="18">
        <v>936</v>
      </c>
      <c r="K198" s="18">
        <v>208</v>
      </c>
      <c r="L198" s="19">
        <f>SUM(F198:K198)</f>
        <v>772336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500</v>
      </c>
      <c r="G200" s="18">
        <v>610</v>
      </c>
      <c r="H200" s="18"/>
      <c r="I200" s="18"/>
      <c r="J200" s="18"/>
      <c r="K200" s="18"/>
      <c r="L200" s="19">
        <f>SUM(F200:K200)</f>
        <v>1110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229481</v>
      </c>
      <c r="G202" s="18">
        <v>72114</v>
      </c>
      <c r="H202" s="18">
        <v>204174</v>
      </c>
      <c r="I202" s="18">
        <v>3691</v>
      </c>
      <c r="J202" s="18">
        <v>505</v>
      </c>
      <c r="K202" s="18">
        <v>133</v>
      </c>
      <c r="L202" s="19">
        <f t="shared" ref="L202:L208" si="0">SUM(F202:K202)</f>
        <v>510098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15965</v>
      </c>
      <c r="G203" s="18">
        <v>10426</v>
      </c>
      <c r="H203" s="18">
        <v>9348</v>
      </c>
      <c r="I203" s="18">
        <v>1067</v>
      </c>
      <c r="J203" s="18">
        <v>24580</v>
      </c>
      <c r="K203" s="18"/>
      <c r="L203" s="19">
        <f t="shared" si="0"/>
        <v>61386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1469</v>
      </c>
      <c r="G204" s="18">
        <v>115</v>
      </c>
      <c r="H204" s="18">
        <v>295023</v>
      </c>
      <c r="I204" s="18">
        <v>315</v>
      </c>
      <c r="J204" s="18">
        <v>0</v>
      </c>
      <c r="K204" s="18">
        <v>1872</v>
      </c>
      <c r="L204" s="19">
        <f t="shared" si="0"/>
        <v>298794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119152</v>
      </c>
      <c r="G205" s="18">
        <v>55725</v>
      </c>
      <c r="H205" s="18">
        <v>4030</v>
      </c>
      <c r="I205" s="18">
        <v>52</v>
      </c>
      <c r="J205" s="18"/>
      <c r="K205" s="18">
        <v>1204</v>
      </c>
      <c r="L205" s="19">
        <f t="shared" si="0"/>
        <v>180163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117387</v>
      </c>
      <c r="G207" s="18">
        <v>61570</v>
      </c>
      <c r="H207" s="18">
        <v>136296</v>
      </c>
      <c r="I207" s="18">
        <v>47041</v>
      </c>
      <c r="J207" s="18">
        <v>1116</v>
      </c>
      <c r="K207" s="18"/>
      <c r="L207" s="19">
        <f t="shared" si="0"/>
        <v>363410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176080</v>
      </c>
      <c r="I208" s="18">
        <v>18975</v>
      </c>
      <c r="J208" s="18"/>
      <c r="K208" s="18"/>
      <c r="L208" s="19">
        <f t="shared" si="0"/>
        <v>195055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13851</v>
      </c>
      <c r="G209" s="18">
        <v>8872</v>
      </c>
      <c r="H209" s="18"/>
      <c r="I209" s="18"/>
      <c r="J209" s="18"/>
      <c r="K209" s="18"/>
      <c r="L209" s="19">
        <f>SUM(F209:K209)</f>
        <v>22723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2152987</v>
      </c>
      <c r="G211" s="41">
        <f t="shared" si="1"/>
        <v>837304</v>
      </c>
      <c r="H211" s="41">
        <f t="shared" si="1"/>
        <v>895197</v>
      </c>
      <c r="I211" s="41">
        <f t="shared" si="1"/>
        <v>127611</v>
      </c>
      <c r="J211" s="41">
        <f t="shared" si="1"/>
        <v>27631</v>
      </c>
      <c r="K211" s="41">
        <f t="shared" si="1"/>
        <v>3417</v>
      </c>
      <c r="L211" s="41">
        <f t="shared" si="1"/>
        <v>4044147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1071413</v>
      </c>
      <c r="G215" s="18">
        <v>406100</v>
      </c>
      <c r="H215" s="18">
        <v>28240</v>
      </c>
      <c r="I215" s="18">
        <v>57401</v>
      </c>
      <c r="J215" s="18">
        <v>6898</v>
      </c>
      <c r="K215" s="18"/>
      <c r="L215" s="19">
        <f>SUM(F215:K215)</f>
        <v>1570052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362224</v>
      </c>
      <c r="G216" s="18">
        <v>129451</v>
      </c>
      <c r="H216" s="18">
        <v>424409</v>
      </c>
      <c r="I216" s="18">
        <v>2901</v>
      </c>
      <c r="J216" s="18">
        <v>691</v>
      </c>
      <c r="K216" s="18">
        <v>303</v>
      </c>
      <c r="L216" s="19">
        <f>SUM(F216:K216)</f>
        <v>919979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30506</v>
      </c>
      <c r="G218" s="18">
        <v>10194</v>
      </c>
      <c r="H218" s="18">
        <v>8659</v>
      </c>
      <c r="I218" s="18">
        <v>3948</v>
      </c>
      <c r="J218" s="18">
        <v>4150</v>
      </c>
      <c r="K218" s="18">
        <v>1012</v>
      </c>
      <c r="L218" s="19">
        <f>SUM(F218:K218)</f>
        <v>58469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169641</v>
      </c>
      <c r="G220" s="18">
        <v>60294</v>
      </c>
      <c r="H220" s="18">
        <v>203538</v>
      </c>
      <c r="I220" s="18">
        <v>1835</v>
      </c>
      <c r="J220" s="18">
        <v>372</v>
      </c>
      <c r="K220" s="18">
        <v>196</v>
      </c>
      <c r="L220" s="19">
        <f t="shared" ref="L220:L226" si="2">SUM(F220:K220)</f>
        <v>435876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15104</v>
      </c>
      <c r="G221" s="18">
        <v>12254</v>
      </c>
      <c r="H221" s="18">
        <v>11968</v>
      </c>
      <c r="I221" s="18">
        <v>9427</v>
      </c>
      <c r="J221" s="18">
        <v>38982</v>
      </c>
      <c r="K221" s="18"/>
      <c r="L221" s="19">
        <f t="shared" si="2"/>
        <v>87735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1084</v>
      </c>
      <c r="G222" s="18">
        <v>85</v>
      </c>
      <c r="H222" s="18">
        <v>217723</v>
      </c>
      <c r="I222" s="18">
        <v>233</v>
      </c>
      <c r="J222" s="18">
        <v>0</v>
      </c>
      <c r="K222" s="18">
        <v>1382</v>
      </c>
      <c r="L222" s="19">
        <f t="shared" si="2"/>
        <v>220507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200523</v>
      </c>
      <c r="G223" s="18">
        <v>101205</v>
      </c>
      <c r="H223" s="18">
        <v>7148</v>
      </c>
      <c r="I223" s="18">
        <v>2999</v>
      </c>
      <c r="J223" s="18">
        <v>0</v>
      </c>
      <c r="K223" s="18">
        <v>2875</v>
      </c>
      <c r="L223" s="19">
        <f t="shared" si="2"/>
        <v>314750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150858</v>
      </c>
      <c r="G225" s="18">
        <v>71709</v>
      </c>
      <c r="H225" s="18">
        <v>86177</v>
      </c>
      <c r="I225" s="18">
        <v>113967</v>
      </c>
      <c r="J225" s="18">
        <v>15527</v>
      </c>
      <c r="K225" s="18"/>
      <c r="L225" s="19">
        <f t="shared" si="2"/>
        <v>438238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157560</v>
      </c>
      <c r="I226" s="18">
        <v>14003</v>
      </c>
      <c r="J226" s="18"/>
      <c r="K226" s="18"/>
      <c r="L226" s="19">
        <f t="shared" si="2"/>
        <v>171563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10222</v>
      </c>
      <c r="G227" s="18">
        <v>6547</v>
      </c>
      <c r="H227" s="18"/>
      <c r="I227" s="18"/>
      <c r="J227" s="18"/>
      <c r="K227" s="18"/>
      <c r="L227" s="19">
        <f>SUM(F227:K227)</f>
        <v>16769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2011575</v>
      </c>
      <c r="G229" s="41">
        <f>SUM(G215:G228)</f>
        <v>797839</v>
      </c>
      <c r="H229" s="41">
        <f>SUM(H215:H228)</f>
        <v>1145422</v>
      </c>
      <c r="I229" s="41">
        <f>SUM(I215:I228)</f>
        <v>206714</v>
      </c>
      <c r="J229" s="41">
        <f>SUM(J215:J228)</f>
        <v>66620</v>
      </c>
      <c r="K229" s="41">
        <f t="shared" si="3"/>
        <v>5768</v>
      </c>
      <c r="L229" s="41">
        <f t="shared" si="3"/>
        <v>4233938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1054386</v>
      </c>
      <c r="G233" s="18">
        <v>363405</v>
      </c>
      <c r="H233" s="18">
        <v>59395</v>
      </c>
      <c r="I233" s="18">
        <v>81253</v>
      </c>
      <c r="J233" s="18">
        <v>32526</v>
      </c>
      <c r="K233" s="18">
        <v>4161</v>
      </c>
      <c r="L233" s="19">
        <f>SUM(F233:K233)</f>
        <v>1595126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403881</v>
      </c>
      <c r="G234" s="18">
        <v>154332</v>
      </c>
      <c r="H234" s="18">
        <v>429255</v>
      </c>
      <c r="I234" s="18">
        <v>3627</v>
      </c>
      <c r="J234" s="18">
        <v>1412</v>
      </c>
      <c r="K234" s="18">
        <v>169</v>
      </c>
      <c r="L234" s="19">
        <f>SUM(F234:K234)</f>
        <v>992676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70153</v>
      </c>
      <c r="I235" s="18"/>
      <c r="J235" s="18"/>
      <c r="K235" s="18"/>
      <c r="L235" s="19">
        <f>SUM(F235:K235)</f>
        <v>70153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109323</v>
      </c>
      <c r="G236" s="18">
        <v>40151</v>
      </c>
      <c r="H236" s="18">
        <v>32660</v>
      </c>
      <c r="I236" s="18">
        <v>12917</v>
      </c>
      <c r="J236" s="18">
        <v>8638</v>
      </c>
      <c r="K236" s="18">
        <v>9224</v>
      </c>
      <c r="L236" s="19">
        <f>SUM(F236:K236)</f>
        <v>212913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228720</v>
      </c>
      <c r="G238" s="18">
        <v>67793</v>
      </c>
      <c r="H238" s="18">
        <v>176311</v>
      </c>
      <c r="I238" s="18">
        <v>1143</v>
      </c>
      <c r="J238" s="18">
        <v>411</v>
      </c>
      <c r="K238" s="18">
        <v>19</v>
      </c>
      <c r="L238" s="19">
        <f t="shared" ref="L238:L244" si="4">SUM(F238:K238)</f>
        <v>474397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43624</v>
      </c>
      <c r="G239" s="18">
        <v>21947</v>
      </c>
      <c r="H239" s="18">
        <v>13493</v>
      </c>
      <c r="I239" s="18">
        <v>7139</v>
      </c>
      <c r="J239" s="18">
        <v>43407</v>
      </c>
      <c r="K239" s="18"/>
      <c r="L239" s="19">
        <f t="shared" si="4"/>
        <v>129610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1197</v>
      </c>
      <c r="G240" s="18">
        <v>94</v>
      </c>
      <c r="H240" s="18">
        <v>240273</v>
      </c>
      <c r="I240" s="18">
        <v>257</v>
      </c>
      <c r="J240" s="18">
        <v>0</v>
      </c>
      <c r="K240" s="18">
        <v>1523</v>
      </c>
      <c r="L240" s="19">
        <f t="shared" si="4"/>
        <v>243344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225064</v>
      </c>
      <c r="G241" s="18">
        <v>98221</v>
      </c>
      <c r="H241" s="18">
        <v>16635</v>
      </c>
      <c r="I241" s="18">
        <v>1927</v>
      </c>
      <c r="J241" s="18">
        <v>0</v>
      </c>
      <c r="K241" s="18">
        <v>10620</v>
      </c>
      <c r="L241" s="19">
        <f t="shared" si="4"/>
        <v>352467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160550</v>
      </c>
      <c r="G243" s="18">
        <v>69693</v>
      </c>
      <c r="H243" s="18">
        <v>113225</v>
      </c>
      <c r="I243" s="18">
        <v>149592</v>
      </c>
      <c r="J243" s="18">
        <v>5663</v>
      </c>
      <c r="K243" s="18"/>
      <c r="L243" s="19">
        <f t="shared" si="4"/>
        <v>498723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287601</v>
      </c>
      <c r="I244" s="18">
        <v>15453</v>
      </c>
      <c r="J244" s="18"/>
      <c r="K244" s="18"/>
      <c r="L244" s="19">
        <f t="shared" si="4"/>
        <v>303054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11281</v>
      </c>
      <c r="G245" s="18">
        <v>7225</v>
      </c>
      <c r="H245" s="18"/>
      <c r="I245" s="18"/>
      <c r="J245" s="18"/>
      <c r="K245" s="18"/>
      <c r="L245" s="19">
        <f>SUM(F245:K245)</f>
        <v>18506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2238026</v>
      </c>
      <c r="G247" s="41">
        <f t="shared" si="5"/>
        <v>822861</v>
      </c>
      <c r="H247" s="41">
        <f t="shared" si="5"/>
        <v>1439001</v>
      </c>
      <c r="I247" s="41">
        <f t="shared" si="5"/>
        <v>273308</v>
      </c>
      <c r="J247" s="41">
        <f t="shared" si="5"/>
        <v>92057</v>
      </c>
      <c r="K247" s="41">
        <f t="shared" si="5"/>
        <v>25716</v>
      </c>
      <c r="L247" s="41">
        <f t="shared" si="5"/>
        <v>4890969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>
        <v>10915</v>
      </c>
      <c r="H251" s="18">
        <v>1153</v>
      </c>
      <c r="I251" s="18"/>
      <c r="J251" s="18">
        <v>998</v>
      </c>
      <c r="K251" s="18"/>
      <c r="L251" s="19">
        <f t="shared" si="6"/>
        <v>13066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10915</v>
      </c>
      <c r="H256" s="41">
        <f t="shared" si="7"/>
        <v>1153</v>
      </c>
      <c r="I256" s="41">
        <f t="shared" si="7"/>
        <v>0</v>
      </c>
      <c r="J256" s="41">
        <f t="shared" si="7"/>
        <v>998</v>
      </c>
      <c r="K256" s="41">
        <f t="shared" si="7"/>
        <v>0</v>
      </c>
      <c r="L256" s="41">
        <f>SUM(F256:K256)</f>
        <v>13066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6402588</v>
      </c>
      <c r="G257" s="41">
        <f t="shared" si="8"/>
        <v>2468919</v>
      </c>
      <c r="H257" s="41">
        <f t="shared" si="8"/>
        <v>3480773</v>
      </c>
      <c r="I257" s="41">
        <f t="shared" si="8"/>
        <v>607633</v>
      </c>
      <c r="J257" s="41">
        <f t="shared" si="8"/>
        <v>187306</v>
      </c>
      <c r="K257" s="41">
        <f t="shared" si="8"/>
        <v>34901</v>
      </c>
      <c r="L257" s="41">
        <f t="shared" si="8"/>
        <v>13182120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392106+52180</f>
        <v>444286</v>
      </c>
      <c r="L260" s="19">
        <f>SUM(F260:K260)</f>
        <v>444286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163040+740</f>
        <v>163780</v>
      </c>
      <c r="L261" s="19">
        <f>SUM(F261:K261)</f>
        <v>163780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608066</v>
      </c>
      <c r="L270" s="41">
        <f t="shared" si="9"/>
        <v>608066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6402588</v>
      </c>
      <c r="G271" s="42">
        <f t="shared" si="11"/>
        <v>2468919</v>
      </c>
      <c r="H271" s="42">
        <f t="shared" si="11"/>
        <v>3480773</v>
      </c>
      <c r="I271" s="42">
        <f t="shared" si="11"/>
        <v>607633</v>
      </c>
      <c r="J271" s="42">
        <f t="shared" si="11"/>
        <v>187306</v>
      </c>
      <c r="K271" s="42">
        <f t="shared" si="11"/>
        <v>642967</v>
      </c>
      <c r="L271" s="42">
        <f t="shared" si="11"/>
        <v>13790186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91031</v>
      </c>
      <c r="G358" s="18">
        <v>29740</v>
      </c>
      <c r="H358" s="18">
        <v>3971</v>
      </c>
      <c r="I358" s="18">
        <v>115370</v>
      </c>
      <c r="J358" s="18">
        <v>83339</v>
      </c>
      <c r="K358" s="18">
        <v>176</v>
      </c>
      <c r="L358" s="13">
        <f>SUM(F358:K358)</f>
        <v>323627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64021</v>
      </c>
      <c r="G359" s="18">
        <v>16434</v>
      </c>
      <c r="H359" s="18">
        <v>2931</v>
      </c>
      <c r="I359" s="18">
        <v>90445</v>
      </c>
      <c r="J359" s="18"/>
      <c r="K359" s="18">
        <v>130</v>
      </c>
      <c r="L359" s="19">
        <f>SUM(F359:K359)</f>
        <v>173961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83071</v>
      </c>
      <c r="G360" s="18">
        <v>26833</v>
      </c>
      <c r="H360" s="18">
        <v>3234</v>
      </c>
      <c r="I360" s="18">
        <v>81125</v>
      </c>
      <c r="J360" s="18"/>
      <c r="K360" s="18">
        <v>144</v>
      </c>
      <c r="L360" s="19">
        <f>SUM(F360:K360)</f>
        <v>194407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238123</v>
      </c>
      <c r="G362" s="47">
        <f t="shared" si="22"/>
        <v>73007</v>
      </c>
      <c r="H362" s="47">
        <f t="shared" si="22"/>
        <v>10136</v>
      </c>
      <c r="I362" s="47">
        <f t="shared" si="22"/>
        <v>286940</v>
      </c>
      <c r="J362" s="47">
        <f t="shared" si="22"/>
        <v>83339</v>
      </c>
      <c r="K362" s="47">
        <f t="shared" si="22"/>
        <v>450</v>
      </c>
      <c r="L362" s="47">
        <f t="shared" si="22"/>
        <v>691995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110555</v>
      </c>
      <c r="G367" s="18">
        <v>86892</v>
      </c>
      <c r="H367" s="18">
        <v>77204</v>
      </c>
      <c r="I367" s="56">
        <f>SUM(F367:H367)</f>
        <v>274651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4815</v>
      </c>
      <c r="G368" s="63">
        <v>3553</v>
      </c>
      <c r="H368" s="63">
        <v>3921</v>
      </c>
      <c r="I368" s="56">
        <f>SUM(F368:H368)</f>
        <v>12289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115370</v>
      </c>
      <c r="G369" s="47">
        <f>SUM(G367:G368)</f>
        <v>90445</v>
      </c>
      <c r="H369" s="47">
        <f>SUM(H367:H368)</f>
        <v>81125</v>
      </c>
      <c r="I369" s="47">
        <f>SUM(I367:I368)</f>
        <v>286940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261954</v>
      </c>
      <c r="H440" s="18"/>
      <c r="I440" s="56">
        <f t="shared" si="33"/>
        <v>261954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261954</v>
      </c>
      <c r="H446" s="13">
        <f>SUM(H439:H445)</f>
        <v>0</v>
      </c>
      <c r="I446" s="13">
        <f>SUM(I439:I445)</f>
        <v>261954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261954</v>
      </c>
      <c r="H459" s="18"/>
      <c r="I459" s="56">
        <f t="shared" si="34"/>
        <v>261954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261954</v>
      </c>
      <c r="H460" s="83">
        <f>SUM(H454:H459)</f>
        <v>0</v>
      </c>
      <c r="I460" s="83">
        <f>SUM(I454:I459)</f>
        <v>261954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261954</v>
      </c>
      <c r="H461" s="42">
        <f>H452+H460</f>
        <v>0</v>
      </c>
      <c r="I461" s="42">
        <f>I452+I460</f>
        <v>261954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511897</v>
      </c>
      <c r="G465" s="18">
        <v>112224</v>
      </c>
      <c r="H465" s="18"/>
      <c r="I465" s="18"/>
      <c r="J465" s="18">
        <v>261954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14103657</v>
      </c>
      <c r="G468" s="18">
        <f>G193</f>
        <v>569263</v>
      </c>
      <c r="H468" s="18"/>
      <c r="I468" s="18"/>
      <c r="J468" s="18">
        <v>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28296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14103657</v>
      </c>
      <c r="G470" s="53">
        <f>SUM(G468:G469)</f>
        <v>597559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13790186</v>
      </c>
      <c r="G472" s="18">
        <f>L362</f>
        <v>691995</v>
      </c>
      <c r="H472" s="18"/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113883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13904069</v>
      </c>
      <c r="G474" s="53">
        <f>SUM(G472:G473)</f>
        <v>691995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711485</v>
      </c>
      <c r="G476" s="53">
        <f>(G465+G470)- G474</f>
        <v>17788</v>
      </c>
      <c r="H476" s="53">
        <f>(H465+H470)- H474</f>
        <v>0</v>
      </c>
      <c r="I476" s="53">
        <f>(I465+I470)- I474</f>
        <v>0</v>
      </c>
      <c r="J476" s="53">
        <f>(J465+J470)- J474</f>
        <v>261954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5010376</v>
      </c>
      <c r="G493" s="18">
        <v>2700000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>
        <v>4.26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1500000</v>
      </c>
      <c r="G495" s="18">
        <v>2007183.51</v>
      </c>
      <c r="H495" s="18"/>
      <c r="I495" s="18"/>
      <c r="J495" s="18"/>
      <c r="K495" s="53">
        <f>SUM(F495:J495)</f>
        <v>3507183.51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250000</v>
      </c>
      <c r="G497" s="18">
        <v>142105.26</v>
      </c>
      <c r="H497" s="18"/>
      <c r="I497" s="18"/>
      <c r="J497" s="18"/>
      <c r="K497" s="53">
        <f t="shared" si="35"/>
        <v>392105.26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1250000</v>
      </c>
      <c r="G498" s="204">
        <f>G495-G497</f>
        <v>1865078.25</v>
      </c>
      <c r="H498" s="204"/>
      <c r="I498" s="204"/>
      <c r="J498" s="204"/>
      <c r="K498" s="205">
        <f t="shared" si="35"/>
        <v>3115078.25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324494-86733</f>
        <v>237761</v>
      </c>
      <c r="G499" s="18">
        <f>550358.33-76727</f>
        <v>473631.32999999996</v>
      </c>
      <c r="H499" s="18"/>
      <c r="I499" s="18"/>
      <c r="J499" s="18"/>
      <c r="K499" s="53">
        <f t="shared" si="35"/>
        <v>711392.33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1487761</v>
      </c>
      <c r="G500" s="42">
        <f>SUM(G498:G499)</f>
        <v>2338709.58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3826470.58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250000</v>
      </c>
      <c r="G501" s="204">
        <v>142105.26</v>
      </c>
      <c r="H501" s="204"/>
      <c r="I501" s="204"/>
      <c r="J501" s="204"/>
      <c r="K501" s="205">
        <f t="shared" si="35"/>
        <v>392105.26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1250000*0.052</f>
        <v>65000</v>
      </c>
      <c r="G502" s="18">
        <f>G498*0.0426</f>
        <v>79452.333449999991</v>
      </c>
      <c r="H502" s="18"/>
      <c r="I502" s="18"/>
      <c r="J502" s="18"/>
      <c r="K502" s="53">
        <f t="shared" si="35"/>
        <v>144452.33344999998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315000</v>
      </c>
      <c r="G503" s="42">
        <f>SUM(G501:G502)</f>
        <v>221557.59344999999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536557.59345000004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476274</v>
      </c>
      <c r="G521" s="18">
        <v>192064</v>
      </c>
      <c r="H521" s="18">
        <v>41036</v>
      </c>
      <c r="I521" s="18">
        <v>4075</v>
      </c>
      <c r="J521" s="18">
        <v>936</v>
      </c>
      <c r="K521" s="18">
        <v>0</v>
      </c>
      <c r="L521" s="88">
        <f>SUM(F521:K521)</f>
        <v>714385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333655</v>
      </c>
      <c r="G522" s="18">
        <v>116136</v>
      </c>
      <c r="H522" s="18">
        <v>424313</v>
      </c>
      <c r="I522" s="18">
        <v>2267</v>
      </c>
      <c r="J522" s="18">
        <v>691</v>
      </c>
      <c r="K522" s="18">
        <v>150</v>
      </c>
      <c r="L522" s="88">
        <f>SUM(F522:K522)</f>
        <v>877212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372353</v>
      </c>
      <c r="G523" s="18">
        <v>139637</v>
      </c>
      <c r="H523" s="18">
        <v>429149</v>
      </c>
      <c r="I523" s="18">
        <v>2928</v>
      </c>
      <c r="J523" s="18">
        <v>1412</v>
      </c>
      <c r="K523" s="18"/>
      <c r="L523" s="88">
        <f>SUM(F523:K523)</f>
        <v>945479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1182282</v>
      </c>
      <c r="G524" s="108">
        <f t="shared" ref="G524:L524" si="36">SUM(G521:G523)</f>
        <v>447837</v>
      </c>
      <c r="H524" s="108">
        <f t="shared" si="36"/>
        <v>894498</v>
      </c>
      <c r="I524" s="108">
        <f t="shared" si="36"/>
        <v>9270</v>
      </c>
      <c r="J524" s="108">
        <f t="shared" si="36"/>
        <v>3039</v>
      </c>
      <c r="K524" s="108">
        <f t="shared" si="36"/>
        <v>150</v>
      </c>
      <c r="L524" s="89">
        <f t="shared" si="36"/>
        <v>2537076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149196</v>
      </c>
      <c r="G526" s="18">
        <v>54116</v>
      </c>
      <c r="H526" s="18">
        <v>203510</v>
      </c>
      <c r="I526" s="18">
        <v>1963</v>
      </c>
      <c r="J526" s="18">
        <v>505</v>
      </c>
      <c r="K526" s="18">
        <v>0</v>
      </c>
      <c r="L526" s="88">
        <f>SUM(F526:K526)</f>
        <v>409290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40527</v>
      </c>
      <c r="G527" s="18">
        <v>16688</v>
      </c>
      <c r="H527" s="18">
        <v>203469</v>
      </c>
      <c r="I527" s="18">
        <v>319</v>
      </c>
      <c r="J527" s="18">
        <v>373</v>
      </c>
      <c r="K527" s="18">
        <v>0</v>
      </c>
      <c r="L527" s="88">
        <f>SUM(F527:K527)</f>
        <v>261376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36314</v>
      </c>
      <c r="G528" s="18">
        <v>5761</v>
      </c>
      <c r="H528" s="18">
        <v>174758</v>
      </c>
      <c r="I528" s="18">
        <v>352</v>
      </c>
      <c r="J528" s="18">
        <v>411</v>
      </c>
      <c r="K528" s="18">
        <v>0</v>
      </c>
      <c r="L528" s="88">
        <f>SUM(F528:K528)</f>
        <v>217596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226037</v>
      </c>
      <c r="G529" s="89">
        <f t="shared" ref="G529:L529" si="37">SUM(G526:G528)</f>
        <v>76565</v>
      </c>
      <c r="H529" s="89">
        <f t="shared" si="37"/>
        <v>581737</v>
      </c>
      <c r="I529" s="89">
        <f t="shared" si="37"/>
        <v>2634</v>
      </c>
      <c r="J529" s="89">
        <f t="shared" si="37"/>
        <v>1289</v>
      </c>
      <c r="K529" s="89">
        <f t="shared" si="37"/>
        <v>0</v>
      </c>
      <c r="L529" s="89">
        <f t="shared" si="37"/>
        <v>888262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38712</v>
      </c>
      <c r="G531" s="18">
        <v>18043</v>
      </c>
      <c r="H531" s="18">
        <v>130</v>
      </c>
      <c r="I531" s="18">
        <v>859</v>
      </c>
      <c r="J531" s="18"/>
      <c r="K531" s="18">
        <v>208</v>
      </c>
      <c r="L531" s="88">
        <f>SUM(F531:K531)</f>
        <v>57952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28569</v>
      </c>
      <c r="G532" s="18">
        <v>13315</v>
      </c>
      <c r="H532" s="18">
        <v>96</v>
      </c>
      <c r="I532" s="18">
        <v>634</v>
      </c>
      <c r="J532" s="18"/>
      <c r="K532" s="18">
        <v>153</v>
      </c>
      <c r="L532" s="88">
        <f>SUM(F532:K532)</f>
        <v>42767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31528</v>
      </c>
      <c r="G533" s="18">
        <v>14694</v>
      </c>
      <c r="H533" s="18">
        <v>106</v>
      </c>
      <c r="I533" s="18">
        <v>699</v>
      </c>
      <c r="J533" s="18"/>
      <c r="K533" s="18">
        <v>169</v>
      </c>
      <c r="L533" s="88">
        <f>SUM(F533:K533)</f>
        <v>47196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98809</v>
      </c>
      <c r="G534" s="89">
        <f t="shared" ref="G534:L534" si="38">SUM(G531:G533)</f>
        <v>46052</v>
      </c>
      <c r="H534" s="89">
        <f t="shared" si="38"/>
        <v>332</v>
      </c>
      <c r="I534" s="89">
        <f t="shared" si="38"/>
        <v>2192</v>
      </c>
      <c r="J534" s="89">
        <f t="shared" si="38"/>
        <v>0</v>
      </c>
      <c r="K534" s="89">
        <f t="shared" si="38"/>
        <v>530</v>
      </c>
      <c r="L534" s="89">
        <f t="shared" si="38"/>
        <v>147915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4932</v>
      </c>
      <c r="I536" s="18"/>
      <c r="J536" s="18"/>
      <c r="K536" s="18"/>
      <c r="L536" s="88">
        <f>SUM(F536:K536)</f>
        <v>4932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3640</v>
      </c>
      <c r="I537" s="18"/>
      <c r="J537" s="18"/>
      <c r="K537" s="18"/>
      <c r="L537" s="88">
        <f>SUM(F537:K537)</f>
        <v>3640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4018</v>
      </c>
      <c r="I538" s="18"/>
      <c r="J538" s="18"/>
      <c r="K538" s="18"/>
      <c r="L538" s="88">
        <f>SUM(F538:K538)</f>
        <v>4018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12590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12590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65649</v>
      </c>
      <c r="I541" s="18"/>
      <c r="J541" s="18"/>
      <c r="K541" s="18"/>
      <c r="L541" s="88">
        <f>SUM(F541:K541)</f>
        <v>65649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65890</v>
      </c>
      <c r="I542" s="18"/>
      <c r="J542" s="18"/>
      <c r="K542" s="18"/>
      <c r="L542" s="88">
        <f>SUM(F542:K542)</f>
        <v>65890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116985</v>
      </c>
      <c r="I543" s="18"/>
      <c r="J543" s="18"/>
      <c r="K543" s="18"/>
      <c r="L543" s="88">
        <f>SUM(F543:K543)</f>
        <v>116985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248524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248524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1507128</v>
      </c>
      <c r="G545" s="89">
        <f t="shared" ref="G545:L545" si="41">G524+G529+G534+G539+G544</f>
        <v>570454</v>
      </c>
      <c r="H545" s="89">
        <f t="shared" si="41"/>
        <v>1737681</v>
      </c>
      <c r="I545" s="89">
        <f t="shared" si="41"/>
        <v>14096</v>
      </c>
      <c r="J545" s="89">
        <f t="shared" si="41"/>
        <v>4328</v>
      </c>
      <c r="K545" s="89">
        <f t="shared" si="41"/>
        <v>680</v>
      </c>
      <c r="L545" s="89">
        <f t="shared" si="41"/>
        <v>3834367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714385</v>
      </c>
      <c r="G549" s="87">
        <f>L526</f>
        <v>409290</v>
      </c>
      <c r="H549" s="87">
        <f>L531</f>
        <v>57952</v>
      </c>
      <c r="I549" s="87">
        <f>L536</f>
        <v>4932</v>
      </c>
      <c r="J549" s="87">
        <f>L541</f>
        <v>65649</v>
      </c>
      <c r="K549" s="87">
        <f>SUM(F549:J549)</f>
        <v>1252208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877212</v>
      </c>
      <c r="G550" s="87">
        <f>L527</f>
        <v>261376</v>
      </c>
      <c r="H550" s="87">
        <f>L532</f>
        <v>42767</v>
      </c>
      <c r="I550" s="87">
        <f>L537</f>
        <v>3640</v>
      </c>
      <c r="J550" s="87">
        <f>L542</f>
        <v>65890</v>
      </c>
      <c r="K550" s="87">
        <f>SUM(F550:J550)</f>
        <v>1250885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945479</v>
      </c>
      <c r="G551" s="87">
        <f>L528</f>
        <v>217596</v>
      </c>
      <c r="H551" s="87">
        <f>L533</f>
        <v>47196</v>
      </c>
      <c r="I551" s="87">
        <f>L538</f>
        <v>4018</v>
      </c>
      <c r="J551" s="87">
        <f>L543</f>
        <v>116985</v>
      </c>
      <c r="K551" s="87">
        <f>SUM(F551:J551)</f>
        <v>1331274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2537076</v>
      </c>
      <c r="G552" s="89">
        <f t="shared" si="42"/>
        <v>888262</v>
      </c>
      <c r="H552" s="89">
        <f t="shared" si="42"/>
        <v>147915</v>
      </c>
      <c r="I552" s="89">
        <f t="shared" si="42"/>
        <v>12590</v>
      </c>
      <c r="J552" s="89">
        <f t="shared" si="42"/>
        <v>248524</v>
      </c>
      <c r="K552" s="89">
        <f t="shared" si="42"/>
        <v>3834367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75745</v>
      </c>
      <c r="H575" s="18">
        <f>4945+43690</f>
        <v>48635</v>
      </c>
      <c r="I575" s="87">
        <f>SUM(F575:H575)</f>
        <v>124380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f>167+40763</f>
        <v>40930</v>
      </c>
      <c r="G578" s="18">
        <f>4463+271787</f>
        <v>276250</v>
      </c>
      <c r="H578" s="18">
        <f>6536+266054</f>
        <v>272590</v>
      </c>
      <c r="I578" s="87">
        <f t="shared" si="47"/>
        <v>589770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>
        <f>5038+66302</f>
        <v>71340</v>
      </c>
      <c r="H583" s="18">
        <f>58454+31</f>
        <v>58485</v>
      </c>
      <c r="I583" s="87">
        <f t="shared" si="47"/>
        <v>129825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70153</v>
      </c>
      <c r="I584" s="87">
        <f t="shared" si="47"/>
        <v>70153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-88+125747</f>
        <v>125659</v>
      </c>
      <c r="I591" s="18">
        <v>92237</v>
      </c>
      <c r="J591" s="18">
        <v>106778</v>
      </c>
      <c r="K591" s="104">
        <f t="shared" ref="K591:K597" si="48">SUM(H591:J591)</f>
        <v>324674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45663+19892+94</f>
        <v>65649</v>
      </c>
      <c r="I592" s="18">
        <f>33699+32191</f>
        <v>65890</v>
      </c>
      <c r="J592" s="18">
        <f>37189+79796</f>
        <v>116985</v>
      </c>
      <c r="K592" s="104">
        <f t="shared" si="48"/>
        <v>248524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39685</v>
      </c>
      <c r="K593" s="104">
        <f t="shared" si="48"/>
        <v>39685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4900</v>
      </c>
      <c r="J594" s="18">
        <v>31978</v>
      </c>
      <c r="K594" s="104">
        <f t="shared" si="48"/>
        <v>36878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3747</v>
      </c>
      <c r="I595" s="18">
        <v>8536</v>
      </c>
      <c r="J595" s="18">
        <v>7628</v>
      </c>
      <c r="K595" s="104">
        <f t="shared" si="48"/>
        <v>19911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195055</v>
      </c>
      <c r="I598" s="108">
        <f>SUM(I591:I597)</f>
        <v>171563</v>
      </c>
      <c r="J598" s="108">
        <f>SUM(J591:J597)</f>
        <v>303054</v>
      </c>
      <c r="K598" s="108">
        <f>SUM(K591:K597)</f>
        <v>669672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27631</v>
      </c>
      <c r="I604" s="18">
        <v>66620</v>
      </c>
      <c r="J604" s="18">
        <v>93055</v>
      </c>
      <c r="K604" s="104">
        <f>SUM(H604:J604)</f>
        <v>187306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27631</v>
      </c>
      <c r="I605" s="108">
        <f>SUM(I602:I604)</f>
        <v>66620</v>
      </c>
      <c r="J605" s="108">
        <f>SUM(J602:J604)</f>
        <v>93055</v>
      </c>
      <c r="K605" s="108">
        <f>SUM(K602:K604)</f>
        <v>187306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1056174</v>
      </c>
      <c r="H617" s="109">
        <f>SUM(F52)</f>
        <v>1056174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803850</v>
      </c>
      <c r="H618" s="109">
        <f>SUM(G52)</f>
        <v>803850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261954</v>
      </c>
      <c r="H621" s="109">
        <f>SUM(J52)</f>
        <v>261954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711485</v>
      </c>
      <c r="H622" s="109">
        <f>F476</f>
        <v>711485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17788</v>
      </c>
      <c r="H623" s="109">
        <f>G476</f>
        <v>17788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261954</v>
      </c>
      <c r="H626" s="109">
        <f>J476</f>
        <v>261954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14103657</v>
      </c>
      <c r="H627" s="104">
        <f>SUM(F468)</f>
        <v>14103657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569263</v>
      </c>
      <c r="H628" s="104">
        <f>SUM(G468)</f>
        <v>569263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13790186</v>
      </c>
      <c r="H632" s="104">
        <f>SUM(F472)</f>
        <v>13790186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286940</v>
      </c>
      <c r="H634" s="104">
        <f>I369</f>
        <v>286940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691995</v>
      </c>
      <c r="H635" s="104">
        <f>SUM(G472)</f>
        <v>691995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261954</v>
      </c>
      <c r="H640" s="104">
        <f>SUM(G461)</f>
        <v>261954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261954</v>
      </c>
      <c r="H642" s="104">
        <f>SUM(I461)</f>
        <v>261954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669672</v>
      </c>
      <c r="H647" s="104">
        <f>L208+L226+L244</f>
        <v>669672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187306</v>
      </c>
      <c r="H648" s="104">
        <f>(J257+J338)-(J255+J336)</f>
        <v>187306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195055</v>
      </c>
      <c r="H649" s="104">
        <f>H598</f>
        <v>195055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171563</v>
      </c>
      <c r="H650" s="104">
        <f>I598</f>
        <v>171563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303054</v>
      </c>
      <c r="H651" s="104">
        <f>J598</f>
        <v>303054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4367774</v>
      </c>
      <c r="G660" s="19">
        <f>(L229+L309+L359)</f>
        <v>4407899</v>
      </c>
      <c r="H660" s="19">
        <f>(L247+L328+L360)</f>
        <v>5085376</v>
      </c>
      <c r="I660" s="19">
        <f>SUM(F660:H660)</f>
        <v>13861049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78541.847316815867</v>
      </c>
      <c r="G661" s="19">
        <f>(L359/IF(SUM(L358:L360)=0,1,SUM(L358:L360))*(SUM(G97:G110)))</f>
        <v>42219.030862939762</v>
      </c>
      <c r="H661" s="19">
        <f>(L360/IF(SUM(L358:L360)=0,1,SUM(L358:L360))*(SUM(G97:G110)))</f>
        <v>47181.121820244363</v>
      </c>
      <c r="I661" s="19">
        <f>SUM(F661:H661)</f>
        <v>167942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195055</v>
      </c>
      <c r="G662" s="19">
        <f>(L226+L306)-(J226+J306)</f>
        <v>171563</v>
      </c>
      <c r="H662" s="19">
        <f>(L244+L325)-(J244+J325)</f>
        <v>303054</v>
      </c>
      <c r="I662" s="19">
        <f>SUM(F662:H662)</f>
        <v>669672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68561</v>
      </c>
      <c r="G663" s="199">
        <f>SUM(G575:G587)+SUM(I602:I604)+L612</f>
        <v>489955</v>
      </c>
      <c r="H663" s="199">
        <f>SUM(H575:H587)+SUM(J602:J604)+L613</f>
        <v>542918</v>
      </c>
      <c r="I663" s="19">
        <f>SUM(F663:H663)</f>
        <v>1101434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4025616.152683184</v>
      </c>
      <c r="G664" s="19">
        <f>G660-SUM(G661:G663)</f>
        <v>3704161.9691370605</v>
      </c>
      <c r="H664" s="19">
        <f>H660-SUM(H661:H663)</f>
        <v>4192222.8781797555</v>
      </c>
      <c r="I664" s="19">
        <f>I660-SUM(I661:I663)</f>
        <v>11922001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469.9</v>
      </c>
      <c r="G665" s="248">
        <v>337.67</v>
      </c>
      <c r="H665" s="248">
        <v>373.01</v>
      </c>
      <c r="I665" s="19">
        <f>SUM(F665:H665)</f>
        <v>1180.58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8566.9599999999991</v>
      </c>
      <c r="G667" s="19">
        <f>ROUND(G664/G665,2)</f>
        <v>10969.77</v>
      </c>
      <c r="H667" s="19">
        <f>ROUND(H664/H665,2)</f>
        <v>11238.9</v>
      </c>
      <c r="I667" s="19">
        <f>ROUND(I664/I665,2)</f>
        <v>10098.43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-5.35</v>
      </c>
      <c r="I670" s="19">
        <f>SUM(F670:H670)</f>
        <v>-5.35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8566.9599999999991</v>
      </c>
      <c r="G672" s="19">
        <f>ROUND((G664+G669)/(G665+G670),2)</f>
        <v>10969.77</v>
      </c>
      <c r="H672" s="19">
        <f>ROUND((H664+H669)/(H665+H670),2)</f>
        <v>11402.44</v>
      </c>
      <c r="I672" s="19">
        <f>ROUND((I664+I669)/(I665+I670),2)</f>
        <v>10144.4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5" workbookViewId="0">
      <selection activeCell="B46" sqref="B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Franklin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3265995</v>
      </c>
      <c r="C9" s="229">
        <f>'DOE25'!G197+'DOE25'!G215+'DOE25'!G233+'DOE25'!G276+'DOE25'!G295+'DOE25'!G314</f>
        <v>1187270</v>
      </c>
    </row>
    <row r="10" spans="1:3" x14ac:dyDescent="0.2">
      <c r="A10" t="s">
        <v>779</v>
      </c>
      <c r="B10" s="240">
        <v>3218350</v>
      </c>
      <c r="C10" s="240">
        <v>1183600</v>
      </c>
    </row>
    <row r="11" spans="1:3" x14ac:dyDescent="0.2">
      <c r="A11" t="s">
        <v>780</v>
      </c>
      <c r="B11" s="240">
        <v>47645</v>
      </c>
      <c r="C11" s="240">
        <v>3670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3265995</v>
      </c>
      <c r="C13" s="231">
        <f>SUM(C10:C12)</f>
        <v>1187270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1281091</v>
      </c>
      <c r="C18" s="229">
        <f>'DOE25'!G198+'DOE25'!G216+'DOE25'!G234+'DOE25'!G277+'DOE25'!G296+'DOE25'!G315</f>
        <v>493890</v>
      </c>
    </row>
    <row r="19" spans="1:3" x14ac:dyDescent="0.2">
      <c r="A19" t="s">
        <v>779</v>
      </c>
      <c r="B19" s="240">
        <v>610189</v>
      </c>
      <c r="C19" s="240">
        <v>247605.45</v>
      </c>
    </row>
    <row r="20" spans="1:3" x14ac:dyDescent="0.2">
      <c r="A20" t="s">
        <v>780</v>
      </c>
      <c r="B20" s="240">
        <v>572093</v>
      </c>
      <c r="C20" s="240">
        <v>200232.55</v>
      </c>
    </row>
    <row r="21" spans="1:3" x14ac:dyDescent="0.2">
      <c r="A21" t="s">
        <v>781</v>
      </c>
      <c r="B21" s="240">
        <v>98809</v>
      </c>
      <c r="C21" s="240">
        <v>46052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1281091</v>
      </c>
      <c r="C22" s="231">
        <f>SUM(C19:C21)</f>
        <v>493890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140329</v>
      </c>
      <c r="C36" s="235">
        <f>'DOE25'!G200+'DOE25'!G218+'DOE25'!G236+'DOE25'!G279+'DOE25'!G298+'DOE25'!G317</f>
        <v>50955</v>
      </c>
    </row>
    <row r="37" spans="1:3" x14ac:dyDescent="0.2">
      <c r="A37" t="s">
        <v>779</v>
      </c>
      <c r="B37" s="240">
        <v>45850</v>
      </c>
      <c r="C37" s="240">
        <v>35268</v>
      </c>
    </row>
    <row r="38" spans="1:3" x14ac:dyDescent="0.2">
      <c r="A38" t="s">
        <v>780</v>
      </c>
      <c r="B38" s="240">
        <v>12108</v>
      </c>
      <c r="C38" s="240">
        <v>935</v>
      </c>
    </row>
    <row r="39" spans="1:3" x14ac:dyDescent="0.2">
      <c r="A39" t="s">
        <v>781</v>
      </c>
      <c r="B39" s="240">
        <v>82371</v>
      </c>
      <c r="C39" s="240">
        <v>14752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140329</v>
      </c>
      <c r="C40" s="231">
        <f>SUM(C37:C39)</f>
        <v>50955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6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Franklin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7831886</v>
      </c>
      <c r="D5" s="20">
        <f>SUM('DOE25'!L197:L200)+SUM('DOE25'!L215:L218)+SUM('DOE25'!L233:L236)-F5-G5</f>
        <v>7761064</v>
      </c>
      <c r="E5" s="243"/>
      <c r="F5" s="255">
        <f>SUM('DOE25'!J197:J200)+SUM('DOE25'!J215:J218)+SUM('DOE25'!J233:J236)</f>
        <v>55745</v>
      </c>
      <c r="G5" s="53">
        <f>SUM('DOE25'!K197:K200)+SUM('DOE25'!K215:K218)+SUM('DOE25'!K233:K236)</f>
        <v>15077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1420371</v>
      </c>
      <c r="D6" s="20">
        <f>'DOE25'!L202+'DOE25'!L220+'DOE25'!L238-F6-G6</f>
        <v>1418735</v>
      </c>
      <c r="E6" s="243"/>
      <c r="F6" s="255">
        <f>'DOE25'!J202+'DOE25'!J220+'DOE25'!J238</f>
        <v>1288</v>
      </c>
      <c r="G6" s="53">
        <f>'DOE25'!K202+'DOE25'!K220+'DOE25'!K238</f>
        <v>348</v>
      </c>
      <c r="H6" s="259"/>
    </row>
    <row r="7" spans="1:9" x14ac:dyDescent="0.2">
      <c r="A7" s="32">
        <v>2200</v>
      </c>
      <c r="B7" t="s">
        <v>834</v>
      </c>
      <c r="C7" s="245">
        <f t="shared" si="0"/>
        <v>278731</v>
      </c>
      <c r="D7" s="20">
        <f>'DOE25'!L203+'DOE25'!L221+'DOE25'!L239-F7-G7</f>
        <v>171762</v>
      </c>
      <c r="E7" s="243"/>
      <c r="F7" s="255">
        <f>'DOE25'!J203+'DOE25'!J221+'DOE25'!J239</f>
        <v>106969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477343.66666666663</v>
      </c>
      <c r="D8" s="243"/>
      <c r="E8" s="20">
        <f>'DOE25'!L204+'DOE25'!L222+'DOE25'!L240-F8-G8-D9-D11</f>
        <v>472566.66666666663</v>
      </c>
      <c r="F8" s="255">
        <f>'DOE25'!J204+'DOE25'!J222+'DOE25'!J240</f>
        <v>0</v>
      </c>
      <c r="G8" s="53">
        <f>'DOE25'!K204+'DOE25'!K222+'DOE25'!K240</f>
        <v>4777</v>
      </c>
      <c r="H8" s="259"/>
    </row>
    <row r="9" spans="1:9" x14ac:dyDescent="0.2">
      <c r="A9" s="32">
        <v>2310</v>
      </c>
      <c r="B9" t="s">
        <v>818</v>
      </c>
      <c r="C9" s="245">
        <f t="shared" si="0"/>
        <v>88218</v>
      </c>
      <c r="D9" s="244">
        <v>88218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36000</v>
      </c>
      <c r="D10" s="243"/>
      <c r="E10" s="244">
        <v>36000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197083.33333333334</v>
      </c>
      <c r="D11" s="244">
        <f>18920/0.096</f>
        <v>197083.33333333334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847380</v>
      </c>
      <c r="D12" s="20">
        <f>'DOE25'!L205+'DOE25'!L223+'DOE25'!L241-F12-G12</f>
        <v>832681</v>
      </c>
      <c r="E12" s="243"/>
      <c r="F12" s="255">
        <f>'DOE25'!J205+'DOE25'!J223+'DOE25'!J241</f>
        <v>0</v>
      </c>
      <c r="G12" s="53">
        <f>'DOE25'!K205+'DOE25'!K223+'DOE25'!K241</f>
        <v>14699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1300371</v>
      </c>
      <c r="D14" s="20">
        <f>'DOE25'!L207+'DOE25'!L225+'DOE25'!L243-F14-G14</f>
        <v>1278065</v>
      </c>
      <c r="E14" s="243"/>
      <c r="F14" s="255">
        <f>'DOE25'!J207+'DOE25'!J225+'DOE25'!J243</f>
        <v>22306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669672</v>
      </c>
      <c r="D15" s="20">
        <f>'DOE25'!L208+'DOE25'!L226+'DOE25'!L244-F15-G15</f>
        <v>669672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57998</v>
      </c>
      <c r="D16" s="243"/>
      <c r="E16" s="20">
        <f>'DOE25'!L209+'DOE25'!L227+'DOE25'!L245-F16-G16</f>
        <v>57998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13066</v>
      </c>
      <c r="D17" s="20">
        <f>'DOE25'!L251-F17-G17</f>
        <v>12068</v>
      </c>
      <c r="E17" s="243"/>
      <c r="F17" s="255">
        <f>'DOE25'!J251</f>
        <v>998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608066</v>
      </c>
      <c r="D25" s="243"/>
      <c r="E25" s="243"/>
      <c r="F25" s="258"/>
      <c r="G25" s="256"/>
      <c r="H25" s="257">
        <f>'DOE25'!L260+'DOE25'!L261+'DOE25'!L341+'DOE25'!L342</f>
        <v>608066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417344</v>
      </c>
      <c r="D29" s="20">
        <f>'DOE25'!L358+'DOE25'!L359+'DOE25'!L360-'DOE25'!I367-F29-G29</f>
        <v>333555</v>
      </c>
      <c r="E29" s="243"/>
      <c r="F29" s="255">
        <f>'DOE25'!J358+'DOE25'!J359+'DOE25'!J360</f>
        <v>83339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12762903.333333334</v>
      </c>
      <c r="E33" s="246">
        <f>SUM(E5:E31)</f>
        <v>566564.66666666663</v>
      </c>
      <c r="F33" s="246">
        <f>SUM(F5:F31)</f>
        <v>270645</v>
      </c>
      <c r="G33" s="246">
        <f>SUM(G5:G31)</f>
        <v>35351</v>
      </c>
      <c r="H33" s="246">
        <f>SUM(H5:H31)</f>
        <v>608066</v>
      </c>
    </row>
    <row r="35" spans="2:8" ht="12" thickBot="1" x14ac:dyDescent="0.25">
      <c r="B35" s="253" t="s">
        <v>847</v>
      </c>
      <c r="D35" s="254">
        <f>E33</f>
        <v>566564.66666666663</v>
      </c>
      <c r="E35" s="249"/>
    </row>
    <row r="36" spans="2:8" ht="12" thickTop="1" x14ac:dyDescent="0.2">
      <c r="B36" t="s">
        <v>815</v>
      </c>
      <c r="D36" s="20">
        <f>D33</f>
        <v>12762903.333333334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Franklin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47459</v>
      </c>
      <c r="D8" s="95">
        <f>'DOE25'!G9</f>
        <v>80870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261954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786062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222439</v>
      </c>
      <c r="D12" s="95">
        <f>'DOE25'!G13</f>
        <v>709221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13759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1056174</v>
      </c>
      <c r="D18" s="41">
        <f>SUM(D8:D17)</f>
        <v>803850</v>
      </c>
      <c r="E18" s="41">
        <f>SUM(E8:E17)</f>
        <v>0</v>
      </c>
      <c r="F18" s="41">
        <f>SUM(F8:F17)</f>
        <v>0</v>
      </c>
      <c r="G18" s="41">
        <f>SUM(G8:G17)</f>
        <v>261954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786062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35230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264314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19500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25645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344689</v>
      </c>
      <c r="D31" s="41">
        <f>SUM(D21:D30)</f>
        <v>786062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13759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251402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200000</v>
      </c>
      <c r="D47" s="95">
        <f>'DOE25'!G48</f>
        <v>4029</v>
      </c>
      <c r="E47" s="95">
        <f>'DOE25'!H48</f>
        <v>0</v>
      </c>
      <c r="F47" s="95">
        <f>'DOE25'!I48</f>
        <v>0</v>
      </c>
      <c r="G47" s="95">
        <f>'DOE25'!J48</f>
        <v>261954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260083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711485</v>
      </c>
      <c r="D50" s="41">
        <f>SUM(D34:D49)</f>
        <v>17788</v>
      </c>
      <c r="E50" s="41">
        <f>SUM(E34:E49)</f>
        <v>0</v>
      </c>
      <c r="F50" s="41">
        <f>SUM(F34:F49)</f>
        <v>0</v>
      </c>
      <c r="G50" s="41">
        <f>SUM(G34:G49)</f>
        <v>261954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1056174</v>
      </c>
      <c r="D51" s="41">
        <f>D50+D31</f>
        <v>803850</v>
      </c>
      <c r="E51" s="41">
        <f>E50+E31</f>
        <v>0</v>
      </c>
      <c r="F51" s="41">
        <f>F50+F31</f>
        <v>0</v>
      </c>
      <c r="G51" s="41">
        <f>G50+G31</f>
        <v>261954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3299945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649087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3960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40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162366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51225</v>
      </c>
      <c r="D61" s="95">
        <f>SUM('DOE25'!G98:G110)</f>
        <v>5576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704272</v>
      </c>
      <c r="D62" s="130">
        <f>SUM(D57:D61)</f>
        <v>167982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4004217</v>
      </c>
      <c r="D63" s="22">
        <f>D56+D62</f>
        <v>167982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8079188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1334615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9413803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181944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245779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11133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1413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438856</v>
      </c>
      <c r="D78" s="130">
        <f>SUM(D72:D77)</f>
        <v>1413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9852659</v>
      </c>
      <c r="D81" s="130">
        <f>SUM(D79:D80)+D78+D70</f>
        <v>1413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246781</v>
      </c>
      <c r="D88" s="95">
        <f>SUM('DOE25'!G153:G161)</f>
        <v>399868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246781</v>
      </c>
      <c r="D91" s="131">
        <f>SUM(D85:D90)</f>
        <v>399868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14103657</v>
      </c>
      <c r="D104" s="86">
        <f>D63+D81+D91+D103</f>
        <v>569263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4804250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2684991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70153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272492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13066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7844952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1420371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278731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762645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847380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1300371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669672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57998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691995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5337168</v>
      </c>
      <c r="D128" s="86">
        <f>SUM(D118:D127)</f>
        <v>691995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444286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163780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608066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13790186</v>
      </c>
      <c r="D145" s="86">
        <f>(D115+D128+D144)</f>
        <v>691995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8/99</v>
      </c>
      <c r="C152" s="152" t="str">
        <f>'DOE25'!G491</f>
        <v>05/06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8/19</v>
      </c>
      <c r="C153" s="152" t="str">
        <f>'DOE25'!G492</f>
        <v>05/26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5010376</v>
      </c>
      <c r="C154" s="137">
        <f>'DOE25'!G493</f>
        <v>2700000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4.26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1500000</v>
      </c>
      <c r="C156" s="137">
        <f>'DOE25'!G495</f>
        <v>2007183.51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3507183.51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250000</v>
      </c>
      <c r="C158" s="137">
        <f>'DOE25'!G497</f>
        <v>142105.26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392105.26</v>
      </c>
    </row>
    <row r="159" spans="1:9" x14ac:dyDescent="0.2">
      <c r="A159" s="22" t="s">
        <v>35</v>
      </c>
      <c r="B159" s="137">
        <f>'DOE25'!F498</f>
        <v>1250000</v>
      </c>
      <c r="C159" s="137">
        <f>'DOE25'!G498</f>
        <v>1865078.25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3115078.25</v>
      </c>
    </row>
    <row r="160" spans="1:9" x14ac:dyDescent="0.2">
      <c r="A160" s="22" t="s">
        <v>36</v>
      </c>
      <c r="B160" s="137">
        <f>'DOE25'!F499</f>
        <v>237761</v>
      </c>
      <c r="C160" s="137">
        <f>'DOE25'!G499</f>
        <v>473631.32999999996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711392.33</v>
      </c>
    </row>
    <row r="161" spans="1:7" x14ac:dyDescent="0.2">
      <c r="A161" s="22" t="s">
        <v>37</v>
      </c>
      <c r="B161" s="137">
        <f>'DOE25'!F500</f>
        <v>1487761</v>
      </c>
      <c r="C161" s="137">
        <f>'DOE25'!G500</f>
        <v>2338709.58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3826470.58</v>
      </c>
    </row>
    <row r="162" spans="1:7" x14ac:dyDescent="0.2">
      <c r="A162" s="22" t="s">
        <v>38</v>
      </c>
      <c r="B162" s="137">
        <f>'DOE25'!F501</f>
        <v>250000</v>
      </c>
      <c r="C162" s="137">
        <f>'DOE25'!G501</f>
        <v>142105.26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392105.26</v>
      </c>
    </row>
    <row r="163" spans="1:7" x14ac:dyDescent="0.2">
      <c r="A163" s="22" t="s">
        <v>39</v>
      </c>
      <c r="B163" s="137">
        <f>'DOE25'!F502</f>
        <v>65000</v>
      </c>
      <c r="C163" s="137">
        <f>'DOE25'!G502</f>
        <v>79452.333449999991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144452.33344999998</v>
      </c>
    </row>
    <row r="164" spans="1:7" x14ac:dyDescent="0.2">
      <c r="A164" s="22" t="s">
        <v>246</v>
      </c>
      <c r="B164" s="137">
        <f>'DOE25'!F503</f>
        <v>315000</v>
      </c>
      <c r="C164" s="137">
        <f>'DOE25'!G503</f>
        <v>221557.59344999999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536557.59345000004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19" sqref="B1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Franklin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8567</v>
      </c>
    </row>
    <row r="5" spans="1:4" x14ac:dyDescent="0.2">
      <c r="B5" t="s">
        <v>704</v>
      </c>
      <c r="C5" s="179">
        <f>IF('DOE25'!G665+'DOE25'!G670=0,0,ROUND('DOE25'!G672,0))</f>
        <v>10970</v>
      </c>
    </row>
    <row r="6" spans="1:4" x14ac:dyDescent="0.2">
      <c r="B6" t="s">
        <v>62</v>
      </c>
      <c r="C6" s="179">
        <f>IF('DOE25'!H665+'DOE25'!H670=0,0,ROUND('DOE25'!H672,0))</f>
        <v>11402</v>
      </c>
    </row>
    <row r="7" spans="1:4" x14ac:dyDescent="0.2">
      <c r="B7" t="s">
        <v>705</v>
      </c>
      <c r="C7" s="179">
        <f>IF('DOE25'!I665+'DOE25'!I670=0,0,ROUND('DOE25'!I672,0))</f>
        <v>10144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4804250</v>
      </c>
      <c r="D10" s="182">
        <f>ROUND((C10/$C$28)*100,1)</f>
        <v>34.6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2684991</v>
      </c>
      <c r="D11" s="182">
        <f>ROUND((C11/$C$28)*100,1)</f>
        <v>19.399999999999999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70153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272492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1420371</v>
      </c>
      <c r="D15" s="182">
        <f t="shared" ref="D15:D27" si="0">ROUND((C15/$C$28)*100,1)</f>
        <v>10.199999999999999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278731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820643</v>
      </c>
      <c r="D17" s="182">
        <f t="shared" si="0"/>
        <v>5.9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847380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1300371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669672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13066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163780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524053</v>
      </c>
      <c r="D27" s="182">
        <f t="shared" si="0"/>
        <v>3.8</v>
      </c>
    </row>
    <row r="28" spans="1:4" x14ac:dyDescent="0.2">
      <c r="B28" s="187" t="s">
        <v>723</v>
      </c>
      <c r="C28" s="180">
        <f>SUM(C10:C27)</f>
        <v>13869953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13869953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444286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3299945</v>
      </c>
      <c r="D35" s="182">
        <f t="shared" ref="D35:D40" si="1">ROUND((C35/$C$41)*100,1)</f>
        <v>22.8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704312</v>
      </c>
      <c r="D36" s="182">
        <f t="shared" si="1"/>
        <v>4.9000000000000004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9413803</v>
      </c>
      <c r="D37" s="182">
        <f t="shared" si="1"/>
        <v>64.900000000000006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440269</v>
      </c>
      <c r="D38" s="182">
        <f t="shared" si="1"/>
        <v>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646649</v>
      </c>
      <c r="D39" s="182">
        <f t="shared" si="1"/>
        <v>4.5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14504978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Franklin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19</v>
      </c>
      <c r="B4" s="219">
        <v>3</v>
      </c>
      <c r="C4" s="284" t="s">
        <v>916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918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6</v>
      </c>
      <c r="C6" s="284" t="s">
        <v>917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 t="s">
        <v>919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2014-10-01T12:44:35Z</cp:lastPrinted>
  <dcterms:created xsi:type="dcterms:W3CDTF">1997-12-04T19:04:30Z</dcterms:created>
  <dcterms:modified xsi:type="dcterms:W3CDTF">2014-12-05T16:06:36Z</dcterms:modified>
</cp:coreProperties>
</file>