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30" windowWidth="12735" windowHeight="65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I521" i="1" l="1"/>
  <c r="H531" i="1" l="1"/>
  <c r="G531" i="1"/>
  <c r="J473" i="1" l="1"/>
  <c r="J591" i="1"/>
  <c r="I591" i="1"/>
  <c r="H582" i="1"/>
  <c r="G579" i="1"/>
  <c r="H575" i="1"/>
  <c r="H204" i="1"/>
  <c r="H472" i="1"/>
  <c r="G472" i="1"/>
  <c r="L204" i="1"/>
  <c r="L211" i="1"/>
  <c r="L257" i="1"/>
  <c r="L271" i="1"/>
  <c r="F472" i="1"/>
  <c r="G468" i="1"/>
  <c r="H468" i="1"/>
  <c r="F468" i="1"/>
  <c r="K266" i="1"/>
  <c r="H215" i="1"/>
  <c r="F208" i="1"/>
  <c r="I207" i="1"/>
  <c r="H207" i="1"/>
  <c r="G207" i="1"/>
  <c r="F207" i="1"/>
  <c r="H22" i="1"/>
  <c r="G48" i="1"/>
  <c r="C45" i="2"/>
  <c r="G51" i="1"/>
  <c r="F51" i="1"/>
  <c r="F52" i="1" s="1"/>
  <c r="H617" i="1" s="1"/>
  <c r="J617" i="1" s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/>
  <c r="G44" i="2"/>
  <c r="I458" i="1"/>
  <c r="J39" i="1"/>
  <c r="G38" i="2"/>
  <c r="C68" i="2"/>
  <c r="B2" i="13"/>
  <c r="F8" i="13"/>
  <c r="G8" i="13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A22" i="12" s="1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/>
  <c r="G59" i="2"/>
  <c r="G61" i="2"/>
  <c r="F2" i="11"/>
  <c r="L613" i="1"/>
  <c r="H663" i="1"/>
  <c r="L612" i="1"/>
  <c r="G663" i="1"/>
  <c r="G664" i="1" s="1"/>
  <c r="L611" i="1"/>
  <c r="F663" i="1"/>
  <c r="C40" i="10"/>
  <c r="F60" i="1"/>
  <c r="G60" i="1"/>
  <c r="H60" i="1"/>
  <c r="I60" i="1"/>
  <c r="F79" i="1"/>
  <c r="F94" i="1"/>
  <c r="F111" i="1"/>
  <c r="G111" i="1"/>
  <c r="G112" i="1"/>
  <c r="H79" i="1"/>
  <c r="H94" i="1"/>
  <c r="H111" i="1"/>
  <c r="I111" i="1"/>
  <c r="I112" i="1"/>
  <c r="J111" i="1"/>
  <c r="J112" i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1" i="10"/>
  <c r="C12" i="10"/>
  <c r="C13" i="10"/>
  <c r="C15" i="10"/>
  <c r="C16" i="10"/>
  <c r="C17" i="10"/>
  <c r="C18" i="10"/>
  <c r="C19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F661" i="1"/>
  <c r="G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K550" i="1" s="1"/>
  <c r="L523" i="1"/>
  <c r="F551" i="1"/>
  <c r="K551" i="1" s="1"/>
  <c r="L526" i="1"/>
  <c r="G549" i="1" s="1"/>
  <c r="G552" i="1" s="1"/>
  <c r="L527" i="1"/>
  <c r="G550" i="1"/>
  <c r="L528" i="1"/>
  <c r="G551" i="1"/>
  <c r="L531" i="1"/>
  <c r="H549" i="1" s="1"/>
  <c r="L532" i="1"/>
  <c r="H550" i="1"/>
  <c r="L533" i="1"/>
  <c r="H551" i="1"/>
  <c r="L536" i="1"/>
  <c r="I549" i="1"/>
  <c r="L537" i="1"/>
  <c r="I550" i="1"/>
  <c r="L538" i="1"/>
  <c r="I551" i="1"/>
  <c r="L541" i="1"/>
  <c r="L544" i="1" s="1"/>
  <c r="J549" i="1"/>
  <c r="J552" i="1" s="1"/>
  <c r="L542" i="1"/>
  <c r="J550" i="1"/>
  <c r="L543" i="1"/>
  <c r="J551" i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/>
  <c r="G8" i="2"/>
  <c r="C9" i="2"/>
  <c r="D9" i="2"/>
  <c r="E9" i="2"/>
  <c r="F9" i="2"/>
  <c r="I440" i="1"/>
  <c r="J10" i="1"/>
  <c r="G9" i="2"/>
  <c r="C10" i="2"/>
  <c r="C11" i="2"/>
  <c r="D11" i="2"/>
  <c r="E11" i="2"/>
  <c r="F11" i="2"/>
  <c r="I441" i="1"/>
  <c r="J12" i="1"/>
  <c r="G11" i="2"/>
  <c r="C12" i="2"/>
  <c r="D12" i="2"/>
  <c r="E12" i="2"/>
  <c r="F12" i="2"/>
  <c r="I442" i="1"/>
  <c r="J13" i="1"/>
  <c r="G12" i="2"/>
  <c r="C13" i="2"/>
  <c r="D13" i="2"/>
  <c r="E13" i="2"/>
  <c r="F13" i="2"/>
  <c r="I443" i="1"/>
  <c r="J14" i="1"/>
  <c r="G13" i="2"/>
  <c r="F14" i="2"/>
  <c r="C15" i="2"/>
  <c r="D15" i="2"/>
  <c r="E15" i="2"/>
  <c r="F15" i="2"/>
  <c r="C16" i="2"/>
  <c r="D16" i="2"/>
  <c r="E16" i="2"/>
  <c r="F16" i="2"/>
  <c r="I444" i="1"/>
  <c r="J17" i="1"/>
  <c r="C17" i="2"/>
  <c r="D17" i="2"/>
  <c r="E17" i="2"/>
  <c r="F17" i="2"/>
  <c r="I445" i="1"/>
  <c r="J18" i="1"/>
  <c r="G17" i="2"/>
  <c r="C21" i="2"/>
  <c r="D21" i="2"/>
  <c r="E21" i="2"/>
  <c r="F21" i="2"/>
  <c r="I448" i="1"/>
  <c r="J22" i="1"/>
  <c r="C22" i="2"/>
  <c r="D22" i="2"/>
  <c r="E22" i="2"/>
  <c r="F22" i="2"/>
  <c r="I449" i="1"/>
  <c r="J23" i="1"/>
  <c r="C23" i="2"/>
  <c r="D23" i="2"/>
  <c r="E23" i="2"/>
  <c r="F23" i="2"/>
  <c r="I450" i="1"/>
  <c r="J24" i="1"/>
  <c r="G23" i="2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/>
  <c r="C34" i="2"/>
  <c r="D34" i="2"/>
  <c r="E34" i="2"/>
  <c r="F34" i="2"/>
  <c r="C35" i="2"/>
  <c r="D35" i="2"/>
  <c r="E35" i="2"/>
  <c r="F35" i="2"/>
  <c r="I454" i="1"/>
  <c r="J49" i="1"/>
  <c r="G48" i="2"/>
  <c r="I456" i="1"/>
  <c r="J43" i="1"/>
  <c r="I457" i="1"/>
  <c r="J37" i="1"/>
  <c r="I459" i="1"/>
  <c r="J48" i="1"/>
  <c r="G47" i="2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C62" i="2"/>
  <c r="C63" i="2"/>
  <c r="D61" i="2"/>
  <c r="E61" i="2"/>
  <c r="F61" i="2"/>
  <c r="C66" i="2"/>
  <c r="C67" i="2"/>
  <c r="C69" i="2"/>
  <c r="D69" i="2"/>
  <c r="D70" i="2"/>
  <c r="E69" i="2"/>
  <c r="E70" i="2"/>
  <c r="F69" i="2"/>
  <c r="F70" i="2"/>
  <c r="G69" i="2"/>
  <c r="G70" i="2"/>
  <c r="C72" i="2"/>
  <c r="F72" i="2"/>
  <c r="C73" i="2"/>
  <c r="F73" i="2"/>
  <c r="C74" i="2"/>
  <c r="C75" i="2"/>
  <c r="C76" i="2"/>
  <c r="E76" i="2"/>
  <c r="F76" i="2"/>
  <c r="C77" i="2"/>
  <c r="D77" i="2"/>
  <c r="D78" i="2"/>
  <c r="E77" i="2"/>
  <c r="F77" i="2"/>
  <c r="G77" i="2"/>
  <c r="G78" i="2"/>
  <c r="G81" i="2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C115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/>
  <c r="F128" i="2"/>
  <c r="G128" i="2"/>
  <c r="C130" i="2"/>
  <c r="E130" i="2"/>
  <c r="F130" i="2"/>
  <c r="F144" i="2" s="1"/>
  <c r="F145" i="2" s="1"/>
  <c r="D134" i="2"/>
  <c r="D144" i="2"/>
  <c r="D145" i="2"/>
  <c r="E134" i="2"/>
  <c r="F134" i="2"/>
  <c r="K419" i="1"/>
  <c r="K427" i="1"/>
  <c r="K433" i="1"/>
  <c r="L263" i="1"/>
  <c r="C135" i="2"/>
  <c r="E135" i="2"/>
  <c r="L264" i="1"/>
  <c r="C136" i="2"/>
  <c r="L265" i="1"/>
  <c r="C137" i="2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/>
  <c r="G500" i="1"/>
  <c r="C161" i="2"/>
  <c r="H500" i="1"/>
  <c r="D161" i="2"/>
  <c r="I500" i="1"/>
  <c r="E161" i="2"/>
  <c r="J500" i="1"/>
  <c r="F161" i="2"/>
  <c r="B162" i="2"/>
  <c r="C162" i="2"/>
  <c r="D162" i="2"/>
  <c r="E162" i="2"/>
  <c r="F162" i="2"/>
  <c r="B163" i="2"/>
  <c r="C163" i="2"/>
  <c r="D163" i="2"/>
  <c r="E163" i="2"/>
  <c r="F163" i="2"/>
  <c r="F503" i="1"/>
  <c r="B164" i="2"/>
  <c r="G503" i="1"/>
  <c r="C164" i="2"/>
  <c r="H503" i="1"/>
  <c r="D164" i="2"/>
  <c r="I503" i="1"/>
  <c r="E164" i="2"/>
  <c r="J503" i="1"/>
  <c r="F164" i="2"/>
  <c r="F19" i="1"/>
  <c r="G19" i="1"/>
  <c r="H19" i="1"/>
  <c r="I19" i="1"/>
  <c r="F32" i="1"/>
  <c r="G32" i="1"/>
  <c r="H32" i="1"/>
  <c r="I32" i="1"/>
  <c r="G52" i="1"/>
  <c r="H618" i="1"/>
  <c r="H51" i="1"/>
  <c r="H52" i="1"/>
  <c r="H619" i="1"/>
  <c r="I51" i="1"/>
  <c r="I52" i="1"/>
  <c r="H620" i="1"/>
  <c r="F177" i="1"/>
  <c r="I177" i="1"/>
  <c r="F183" i="1"/>
  <c r="G183" i="1"/>
  <c r="H183" i="1"/>
  <c r="I183" i="1"/>
  <c r="J183" i="1"/>
  <c r="J192" i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/>
  <c r="J352" i="1"/>
  <c r="K337" i="1"/>
  <c r="K338" i="1"/>
  <c r="K352" i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/>
  <c r="G636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H545" i="1" s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/>
  <c r="I598" i="1"/>
  <c r="H650" i="1"/>
  <c r="J598" i="1"/>
  <c r="H651" i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H647" i="1"/>
  <c r="G649" i="1"/>
  <c r="J649" i="1"/>
  <c r="G650" i="1"/>
  <c r="G651" i="1"/>
  <c r="G652" i="1"/>
  <c r="H652" i="1"/>
  <c r="G653" i="1"/>
  <c r="H653" i="1"/>
  <c r="G654" i="1"/>
  <c r="H654" i="1"/>
  <c r="H655" i="1"/>
  <c r="F192" i="1"/>
  <c r="L256" i="1"/>
  <c r="G632" i="1"/>
  <c r="K257" i="1"/>
  <c r="K271" i="1"/>
  <c r="I257" i="1"/>
  <c r="I271" i="1"/>
  <c r="G257" i="1"/>
  <c r="G271" i="1"/>
  <c r="G164" i="2"/>
  <c r="C18" i="2"/>
  <c r="C26" i="10"/>
  <c r="L328" i="1"/>
  <c r="H660" i="1"/>
  <c r="H664" i="1"/>
  <c r="L351" i="1"/>
  <c r="I662" i="1"/>
  <c r="L290" i="1"/>
  <c r="F660" i="1"/>
  <c r="A31" i="12"/>
  <c r="C70" i="2"/>
  <c r="A40" i="12"/>
  <c r="D12" i="13"/>
  <c r="C12" i="13"/>
  <c r="D62" i="2"/>
  <c r="D63" i="2"/>
  <c r="D18" i="13"/>
  <c r="C18" i="13"/>
  <c r="D15" i="13"/>
  <c r="C15" i="13"/>
  <c r="D7" i="13"/>
  <c r="C7" i="13"/>
  <c r="D18" i="2"/>
  <c r="D17" i="13"/>
  <c r="C17" i="13"/>
  <c r="D6" i="13"/>
  <c r="C6" i="13"/>
  <c r="E8" i="13"/>
  <c r="E33" i="13" s="1"/>
  <c r="D35" i="13" s="1"/>
  <c r="C8" i="13"/>
  <c r="C91" i="2"/>
  <c r="F78" i="2"/>
  <c r="F81" i="2"/>
  <c r="D31" i="2"/>
  <c r="C128" i="2"/>
  <c r="C78" i="2"/>
  <c r="C81" i="2"/>
  <c r="D50" i="2"/>
  <c r="G157" i="2"/>
  <c r="F18" i="2"/>
  <c r="G161" i="2"/>
  <c r="G156" i="2"/>
  <c r="E115" i="2"/>
  <c r="E103" i="2"/>
  <c r="D91" i="2"/>
  <c r="E62" i="2"/>
  <c r="E63" i="2"/>
  <c r="E31" i="2"/>
  <c r="G62" i="2"/>
  <c r="D29" i="13"/>
  <c r="C29" i="13"/>
  <c r="D19" i="13"/>
  <c r="C19" i="13"/>
  <c r="D14" i="13"/>
  <c r="C14" i="13"/>
  <c r="E13" i="13"/>
  <c r="C13" i="13"/>
  <c r="E78" i="2"/>
  <c r="E81" i="2"/>
  <c r="L427" i="1"/>
  <c r="J257" i="1"/>
  <c r="J271" i="1"/>
  <c r="H112" i="1"/>
  <c r="F112" i="1"/>
  <c r="J641" i="1"/>
  <c r="J639" i="1"/>
  <c r="K605" i="1"/>
  <c r="G648" i="1"/>
  <c r="J571" i="1"/>
  <c r="K571" i="1"/>
  <c r="L433" i="1"/>
  <c r="L419" i="1"/>
  <c r="D81" i="2"/>
  <c r="I169" i="1"/>
  <c r="H169" i="1"/>
  <c r="J644" i="1"/>
  <c r="J643" i="1"/>
  <c r="J476" i="1"/>
  <c r="H626" i="1"/>
  <c r="H476" i="1"/>
  <c r="H624" i="1"/>
  <c r="J624" i="1"/>
  <c r="F476" i="1"/>
  <c r="H622" i="1"/>
  <c r="I476" i="1"/>
  <c r="H625" i="1"/>
  <c r="J625" i="1"/>
  <c r="G476" i="1"/>
  <c r="H623" i="1"/>
  <c r="J623" i="1"/>
  <c r="G338" i="1"/>
  <c r="G352" i="1"/>
  <c r="F169" i="1"/>
  <c r="J140" i="1"/>
  <c r="F571" i="1"/>
  <c r="H257" i="1"/>
  <c r="H271" i="1"/>
  <c r="F664" i="1"/>
  <c r="F672" i="1"/>
  <c r="C4" i="10"/>
  <c r="I552" i="1"/>
  <c r="G22" i="2"/>
  <c r="K598" i="1"/>
  <c r="G647" i="1"/>
  <c r="J647" i="1"/>
  <c r="K545" i="1"/>
  <c r="C29" i="10"/>
  <c r="I661" i="1"/>
  <c r="H140" i="1"/>
  <c r="L401" i="1"/>
  <c r="C139" i="2"/>
  <c r="L393" i="1"/>
  <c r="A13" i="12"/>
  <c r="F22" i="13"/>
  <c r="H25" i="13"/>
  <c r="C25" i="13"/>
  <c r="J651" i="1"/>
  <c r="J640" i="1"/>
  <c r="J634" i="1"/>
  <c r="H571" i="1"/>
  <c r="L560" i="1"/>
  <c r="J545" i="1"/>
  <c r="H338" i="1"/>
  <c r="H352" i="1"/>
  <c r="F338" i="1"/>
  <c r="F352" i="1"/>
  <c r="G192" i="1"/>
  <c r="H192" i="1"/>
  <c r="E128" i="2"/>
  <c r="C35" i="10"/>
  <c r="L309" i="1"/>
  <c r="D5" i="13"/>
  <c r="C5" i="13"/>
  <c r="E16" i="13"/>
  <c r="J655" i="1"/>
  <c r="J645" i="1"/>
  <c r="L570" i="1"/>
  <c r="I571" i="1"/>
  <c r="J636" i="1"/>
  <c r="G36" i="2"/>
  <c r="L565" i="1"/>
  <c r="C22" i="13"/>
  <c r="C138" i="2"/>
  <c r="C16" i="13"/>
  <c r="H33" i="13"/>
  <c r="F667" i="1"/>
  <c r="L337" i="1"/>
  <c r="F62" i="2"/>
  <c r="F63" i="2"/>
  <c r="C23" i="10"/>
  <c r="G163" i="2"/>
  <c r="G162" i="2"/>
  <c r="G160" i="2"/>
  <c r="G159" i="2"/>
  <c r="G158" i="2"/>
  <c r="G103" i="2"/>
  <c r="F103" i="2"/>
  <c r="C103" i="2"/>
  <c r="F91" i="2"/>
  <c r="E50" i="2"/>
  <c r="E51" i="2"/>
  <c r="F31" i="2"/>
  <c r="C31" i="2"/>
  <c r="E18" i="2"/>
  <c r="E144" i="2"/>
  <c r="F50" i="2"/>
  <c r="F51" i="2"/>
  <c r="E145" i="2"/>
  <c r="L338" i="1"/>
  <c r="L352" i="1"/>
  <c r="G633" i="1"/>
  <c r="J633" i="1"/>
  <c r="C24" i="10"/>
  <c r="G660" i="1"/>
  <c r="G31" i="13"/>
  <c r="G33" i="13"/>
  <c r="I338" i="1"/>
  <c r="I352" i="1"/>
  <c r="J650" i="1"/>
  <c r="L407" i="1"/>
  <c r="C140" i="2"/>
  <c r="C141" i="2"/>
  <c r="C144" i="2"/>
  <c r="C145" i="2"/>
  <c r="L571" i="1"/>
  <c r="J632" i="1"/>
  <c r="I192" i="1"/>
  <c r="E91" i="2"/>
  <c r="L408" i="1"/>
  <c r="G637" i="1"/>
  <c r="J637" i="1"/>
  <c r="D51" i="2"/>
  <c r="J654" i="1"/>
  <c r="J653" i="1"/>
  <c r="G21" i="2"/>
  <c r="G31" i="2"/>
  <c r="J32" i="1"/>
  <c r="L434" i="1"/>
  <c r="G638" i="1"/>
  <c r="J638" i="1"/>
  <c r="J434" i="1"/>
  <c r="F434" i="1"/>
  <c r="K434" i="1"/>
  <c r="G134" i="2"/>
  <c r="G144" i="2"/>
  <c r="G145" i="2"/>
  <c r="H667" i="1"/>
  <c r="H672" i="1"/>
  <c r="C6" i="10"/>
  <c r="F31" i="13"/>
  <c r="I660" i="1"/>
  <c r="J193" i="1"/>
  <c r="G646" i="1"/>
  <c r="F104" i="2"/>
  <c r="H193" i="1"/>
  <c r="G629" i="1"/>
  <c r="J629" i="1"/>
  <c r="G169" i="1"/>
  <c r="C39" i="10"/>
  <c r="G140" i="1"/>
  <c r="F140" i="1"/>
  <c r="F193" i="1"/>
  <c r="G627" i="1"/>
  <c r="J627" i="1"/>
  <c r="C36" i="10"/>
  <c r="G63" i="2"/>
  <c r="G104" i="2"/>
  <c r="J618" i="1"/>
  <c r="C5" i="10"/>
  <c r="G42" i="2"/>
  <c r="J51" i="1"/>
  <c r="G16" i="2"/>
  <c r="J19" i="1"/>
  <c r="G621" i="1"/>
  <c r="F33" i="13"/>
  <c r="D31" i="13"/>
  <c r="C31" i="13"/>
  <c r="G18" i="2"/>
  <c r="H434" i="1"/>
  <c r="J620" i="1"/>
  <c r="J619" i="1"/>
  <c r="D103" i="2"/>
  <c r="D104" i="2"/>
  <c r="I140" i="1"/>
  <c r="I193" i="1"/>
  <c r="G630" i="1"/>
  <c r="J630" i="1"/>
  <c r="H646" i="1"/>
  <c r="G50" i="2"/>
  <c r="G51" i="2"/>
  <c r="H648" i="1"/>
  <c r="J648" i="1"/>
  <c r="C104" i="2"/>
  <c r="J652" i="1"/>
  <c r="J642" i="1"/>
  <c r="G571" i="1"/>
  <c r="I434" i="1"/>
  <c r="G434" i="1"/>
  <c r="E104" i="2"/>
  <c r="C27" i="10"/>
  <c r="C28" i="10"/>
  <c r="G635" i="1"/>
  <c r="J635" i="1"/>
  <c r="G631" i="1"/>
  <c r="J631" i="1"/>
  <c r="D33" i="13"/>
  <c r="D36" i="13" s="1"/>
  <c r="J646" i="1"/>
  <c r="G193" i="1"/>
  <c r="G628" i="1"/>
  <c r="J628" i="1"/>
  <c r="G626" i="1"/>
  <c r="J626" i="1"/>
  <c r="J52" i="1"/>
  <c r="H621" i="1"/>
  <c r="J621" i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D28" i="10"/>
  <c r="C41" i="10"/>
  <c r="D38" i="10"/>
  <c r="D37" i="10"/>
  <c r="D36" i="10"/>
  <c r="D35" i="10"/>
  <c r="D40" i="10"/>
  <c r="D39" i="10"/>
  <c r="D41" i="10"/>
  <c r="G672" i="1" l="1"/>
  <c r="G667" i="1"/>
  <c r="I663" i="1"/>
  <c r="I664" i="1" s="1"/>
  <c r="C50" i="2"/>
  <c r="C51" i="2" s="1"/>
  <c r="G622" i="1"/>
  <c r="I545" i="1"/>
  <c r="L529" i="1"/>
  <c r="F552" i="1"/>
  <c r="G545" i="1"/>
  <c r="L524" i="1"/>
  <c r="F545" i="1"/>
  <c r="K549" i="1"/>
  <c r="K552" i="1" s="1"/>
  <c r="H552" i="1"/>
  <c r="L534" i="1"/>
  <c r="I672" i="1" l="1"/>
  <c r="C7" i="10" s="1"/>
  <c r="I667" i="1"/>
  <c r="J622" i="1"/>
  <c r="H656" i="1"/>
  <c r="L545" i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<sst xmlns="http://schemas.openxmlformats.org/spreadsheetml/2006/main" count="3956" uniqueCount="914">
  <si>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</si>
  <si>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</si>
  <si>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</si>
  <si>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</si>
  <si>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</si>
  <si>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</si>
  <si>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</si>
  <si>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</si>
  <si>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</si>
  <si>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</si>
  <si>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</si>
  <si>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</si>
  <si>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</si>
  <si>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</si>
  <si>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</si>
  <si>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</si>
  <si>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</si>
  <si>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</si>
  <si>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</si>
  <si>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</si>
  <si>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</si>
  <si>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</si>
  <si>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</si>
  <si>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</si>
  <si>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</si>
  <si>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</si>
  <si>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</si>
  <si>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</si>
  <si>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</si>
  <si>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</si>
  <si>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</si>
  <si>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</si>
  <si>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</si>
  <si>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</si>
  <si>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</si>
  <si>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</si>
  <si>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</si>
  <si>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</si>
  <si>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</si>
  <si>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</si>
  <si>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</si>
  <si>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</si>
  <si>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</si>
  <si>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</si>
  <si>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</si>
  <si>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</si>
  <si>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</si>
  <si>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</si>
  <si>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</si>
  <si>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</si>
  <si>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</si>
  <si>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</si>
  <si>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</si>
  <si>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</si>
  <si>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</si>
  <si>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</si>
  <si>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</si>
  <si>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</si>
  <si>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</si>
  <si>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</si>
  <si>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</si>
  <si>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</si>
  <si>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</si>
  <si>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</si>
  <si>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</si>
  <si>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</si>
  <si>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</si>
  <si>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</si>
  <si>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</si>
  <si>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</si>
  <si>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</si>
  <si>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</si>
  <si>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</si>
  <si>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</si>
  <si>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</si>
  <si>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</si>
  <si>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</si>
  <si>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</si>
  <si>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</si>
  <si>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</si>
  <si>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</si>
  <si>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</si>
  <si>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</si>
  <si>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</si>
  <si>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</si>
  <si>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</si>
  <si>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</si>
  <si>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</si>
  <si>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</si>
  <si>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</si>
  <si>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</si>
  <si>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</si>
  <si>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</si>
  <si>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</si>
  <si>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</si>
  <si>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</si>
  <si>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</si>
  <si>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</si>
  <si>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</si>
  <si>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</si>
  <si>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</si>
  <si>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</si>
  <si>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</si>
  <si>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</si>
  <si>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</si>
  <si>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</si>
  <si>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</si>
  <si>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</si>
  <si>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</si>
  <si>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</si>
  <si>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</si>
  <si>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</si>
  <si>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</si>
  <si>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</si>
  <si>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</si>
  <si>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</si>
  <si>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</si>
  <si>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</si>
  <si>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</si>
  <si>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</si>
  <si>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</si>
  <si>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</si>
  <si>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</si>
  <si>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</si>
  <si>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</si>
  <si>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</si>
  <si>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</si>
  <si>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</si>
  <si>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</si>
  <si>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</si>
  <si>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</si>
  <si>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</si>
  <si>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</si>
  <si>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</si>
  <si>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</si>
  <si>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</si>
  <si>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</si>
  <si>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</si>
  <si>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</si>
  <si>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</si>
  <si>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</si>
  <si>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</si>
  <si>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</si>
  <si>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</si>
  <si>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</si>
  <si>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</si>
  <si>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</si>
  <si>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</si>
  <si>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</si>
  <si>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</si>
  <si>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</si>
  <si>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</si>
  <si>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</si>
  <si>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</si>
  <si>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</si>
  <si>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</si>
  <si>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</si>
  <si>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</si>
  <si>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</si>
  <si>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</si>
  <si>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</si>
  <si>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</si>
  <si>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</si>
  <si>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</si>
  <si>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</si>
  <si>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</si>
  <si>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</si>
  <si>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</si>
  <si>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</si>
  <si>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</si>
  <si>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</si>
  <si>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</si>
  <si>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</si>
  <si>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</si>
  <si>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</si>
  <si>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</si>
  <si>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</si>
  <si>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</si>
  <si>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</si>
  <si>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</si>
  <si>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</si>
  <si>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</si>
  <si>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</si>
  <si>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</si>
  <si>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</si>
  <si>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</si>
  <si>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</si>
  <si>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</si>
  <si>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</si>
  <si>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</si>
  <si>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</si>
  <si>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</si>
  <si>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</si>
  <si>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</si>
  <si>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</si>
  <si>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</si>
  <si>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</si>
  <si>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</si>
  <si>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</si>
  <si>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</si>
  <si>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</si>
  <si>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</si>
  <si>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</si>
  <si>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</si>
  <si>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</si>
  <si>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</si>
  <si>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</si>
  <si>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</si>
  <si>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</si>
  <si>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</si>
  <si>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</si>
  <si>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</si>
  <si>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</si>
  <si>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</si>
  <si>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</si>
  <si>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</si>
  <si>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</si>
  <si>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</si>
  <si>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</si>
  <si>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</si>
  <si>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</si>
  <si>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</si>
  <si>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</si>
  <si>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</si>
  <si>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</si>
  <si>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</si>
  <si>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</si>
  <si>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</si>
  <si>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</si>
  <si>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</si>
  <si>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</si>
  <si>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</si>
  <si>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</si>
  <si>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</si>
  <si>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</si>
  <si>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</si>
  <si>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</si>
  <si>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</si>
  <si>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</si>
  <si>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</si>
  <si>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</si>
  <si>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</si>
  <si>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</si>
  <si>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</si>
  <si>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</si>
  <si>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</si>
  <si>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</si>
  <si>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</si>
  <si>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</si>
  <si>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</si>
  <si>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</si>
  <si>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</si>
  <si>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</si>
  <si>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</si>
  <si>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</si>
  <si>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</si>
  <si>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</si>
  <si>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</si>
  <si>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</si>
  <si>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</si>
  <si>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</si>
  <si>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</si>
  <si>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</si>
  <si>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</si>
  <si>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</si>
  <si>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</si>
  <si>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</si>
  <si>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</si>
  <si>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</si>
  <si>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</si>
  <si>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</si>
  <si>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</si>
  <si>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</si>
  <si>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</si>
  <si>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</si>
  <si>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</si>
  <si>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</si>
  <si>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</si>
  <si>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</si>
  <si>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</si>
  <si>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</si>
  <si>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</si>
  <si>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</si>
  <si>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</si>
  <si>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</si>
  <si>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</si>
  <si>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</si>
  <si>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</si>
  <si>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</si>
  <si>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</si>
  <si>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</si>
  <si>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</si>
  <si>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</si>
  <si>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</si>
  <si>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</si>
  <si>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</si>
  <si>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</si>
  <si>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</si>
  <si>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</si>
  <si>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</si>
  <si>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</si>
  <si>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</si>
  <si>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</si>
  <si>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</si>
  <si>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</si>
  <si>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</si>
  <si>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</si>
  <si>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</si>
  <si>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</si>
  <si>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</si>
  <si>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</si>
  <si>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</si>
  <si>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</si>
  <si>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</si>
  <si>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</si>
  <si>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</si>
  <si>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</si>
  <si>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</si>
  <si>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</si>
  <si>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</si>
  <si>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</si>
  <si>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</si>
  <si>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</si>
  <si>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</si>
  <si>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</si>
  <si>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</si>
  <si>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</si>
  <si>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</si>
  <si>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</si>
  <si>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</si>
  <si>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</si>
  <si>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</si>
  <si>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</si>
  <si>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</si>
  <si>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</si>
  <si>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</si>
  <si>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</si>
  <si>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</si>
  <si>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</si>
  <si>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</si>
  <si>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</si>
  <si>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</si>
  <si>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</si>
  <si>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</si>
  <si>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</si>
  <si>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</si>
  <si>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</si>
  <si>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</si>
  <si>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</si>
  <si>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</si>
  <si>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</si>
  <si>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</si>
  <si>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</si>
  <si>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</si>
  <si>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</si>
  <si>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</si>
  <si>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</si>
  <si>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</si>
  <si>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</si>
  <si>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</si>
  <si>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</si>
  <si>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</si>
  <si>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</si>
  <si>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</si>
  <si>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</si>
  <si>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</si>
  <si>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</si>
  <si>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</si>
  <si>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</si>
  <si>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</si>
  <si>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</si>
  <si>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</si>
  <si>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</si>
  <si>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</si>
  <si>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</si>
  <si>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</si>
  <si>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</si>
  <si>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</si>
  <si>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</si>
  <si>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</si>
  <si>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</si>
  <si>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</si>
  <si>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</si>
  <si>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</si>
  <si>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</si>
  <si>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</si>
  <si>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</si>
  <si>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</si>
  <si>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</si>
  <si>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</si>
  <si>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</si>
  <si>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</si>
  <si>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</si>
  <si>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</si>
  <si>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</si>
  <si>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</si>
  <si>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</si>
  <si>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</si>
  <si>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</si>
  <si>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</si>
  <si>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</si>
  <si>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</si>
  <si>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</si>
  <si>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</si>
  <si>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</si>
  <si>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</si>
  <si>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</si>
  <si>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</si>
  <si>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</si>
  <si>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</si>
  <si>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</si>
  <si>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</si>
  <si>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</si>
  <si>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</si>
  <si>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</si>
  <si>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</si>
  <si>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</si>
  <si>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</si>
  <si>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</si>
  <si>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</si>
  <si>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</si>
  <si>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</si>
  <si>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</si>
  <si>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</si>
  <si>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</si>
  <si>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</si>
  <si>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</si>
  <si>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</si>
  <si>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</si>
  <si>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</si>
  <si>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</si>
  <si>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</si>
  <si>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</si>
  <si>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</si>
  <si>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</si>
  <si>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</si>
  <si>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</si>
  <si>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</si>
  <si>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</si>
  <si>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</si>
  <si>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</si>
  <si>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</si>
  <si>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</si>
  <si>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</si>
  <si>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</si>
  <si>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</si>
  <si>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</si>
  <si>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</si>
  <si>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</si>
  <si>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</si>
  <si>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</si>
  <si>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</si>
  <si>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</si>
  <si>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</si>
  <si>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</si>
  <si>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</si>
  <si>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</si>
  <si>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</si>
  <si>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</si>
  <si>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</si>
  <si>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</si>
  <si>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</si>
  <si>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</si>
  <si>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</si>
  <si>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</si>
  <si>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</si>
  <si>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</si>
  <si>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</si>
  <si>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</si>
  <si>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</si>
  <si>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</si>
  <si>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</si>
  <si>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</si>
  <si>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</si>
  <si>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</si>
  <si>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</si>
  <si>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</si>
  <si>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</si>
  <si>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</si>
  <si>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</si>
  <si>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</si>
  <si>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</si>
  <si>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</si>
  <si>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</si>
  <si>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</si>
  <si>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</si>
  <si>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</si>
  <si>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</si>
  <si>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</si>
  <si>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</si>
  <si>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</si>
  <si>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</si>
  <si>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</si>
  <si>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</si>
  <si>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</si>
  <si>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</si>
  <si>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</si>
  <si>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</si>
  <si>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</si>
  <si>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</si>
  <si>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</si>
  <si>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</si>
  <si>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</si>
  <si>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</si>
  <si>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</si>
  <si>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</si>
  <si>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</si>
  <si>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</si>
  <si>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</si>
  <si>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</si>
  <si>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</si>
  <si>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</si>
  <si>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</si>
  <si>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</si>
  <si>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</si>
  <si>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</si>
  <si>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</si>
  <si>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</si>
  <si>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</si>
  <si>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</si>
  <si>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</si>
  <si>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</si>
  <si>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</si>
  <si>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</si>
  <si>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</si>
  <si>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</si>
  <si>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</si>
  <si>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</si>
  <si>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</si>
  <si>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</si>
  <si>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</si>
  <si>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</si>
  <si>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</si>
  <si>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</si>
  <si>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</si>
  <si>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</si>
  <si>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</si>
  <si>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</si>
  <si>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</si>
  <si>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</si>
  <si>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</si>
  <si>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</si>
  <si>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</si>
  <si>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</si>
  <si>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</si>
  <si>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</si>
  <si>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</si>
  <si>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</si>
  <si>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</si>
  <si>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</si>
  <si>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</si>
  <si>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</si>
  <si>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</si>
  <si>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</si>
  <si>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</si>
  <si>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</si>
  <si>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</si>
  <si>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</si>
  <si>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</si>
  <si>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</si>
  <si>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</si>
  <si>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</si>
  <si>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</si>
  <si>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</si>
  <si>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</si>
  <si>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</si>
  <si>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</si>
  <si>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</si>
  <si>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</si>
  <si>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</si>
  <si>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</si>
  <si>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</si>
  <si>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</si>
  <si>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</si>
  <si>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</si>
  <si>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</si>
  <si>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</si>
  <si>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</si>
  <si>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</si>
  <si>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</si>
  <si>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</si>
  <si>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</si>
  <si>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</si>
  <si>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</si>
  <si>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</si>
  <si>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</si>
  <si>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</si>
  <si>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</si>
  <si>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</si>
  <si>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</si>
  <si>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</si>
  <si>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</si>
  <si>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</si>
  <si>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</si>
  <si>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</si>
  <si>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</si>
  <si>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</si>
  <si>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</si>
  <si>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</si>
  <si>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</si>
  <si>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</si>
  <si>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</si>
  <si>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</si>
  <si>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</si>
  <si>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</si>
  <si>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</si>
  <si>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</si>
  <si>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</si>
  <si>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</si>
  <si>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</si>
  <si>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</si>
  <si>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</si>
  <si>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</si>
  <si>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</si>
  <si>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</si>
  <si>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</si>
  <si>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</si>
  <si>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</si>
  <si>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</si>
  <si>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</si>
  <si>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</si>
  <si>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</si>
  <si>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</si>
  <si>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</si>
  <si>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</si>
  <si>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</si>
  <si>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</si>
  <si>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</si>
  <si>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</si>
  <si>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</si>
  <si>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</si>
  <si>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</si>
  <si>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</si>
  <si>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</si>
  <si>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</si>
  <si>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</si>
  <si>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</si>
  <si>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</si>
  <si>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</si>
  <si>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</si>
  <si>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</si>
  <si>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</si>
  <si>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</si>
  <si>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</si>
  <si>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</si>
  <si>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</si>
  <si>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</si>
  <si>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</si>
  <si>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</si>
  <si>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</si>
  <si>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</si>
  <si>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</si>
  <si>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</si>
  <si>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</si>
  <si>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</si>
  <si>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</si>
  <si>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</si>
  <si>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</si>
  <si>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</si>
  <si>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</si>
  <si>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</si>
  <si>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</si>
  <si>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</si>
  <si>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</si>
  <si>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</si>
  <si>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</si>
  <si>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</si>
  <si>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</si>
  <si>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</si>
  <si>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</si>
  <si>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</si>
  <si>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</si>
  <si>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</si>
  <si>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</si>
  <si>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</si>
  <si>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</si>
  <si>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</si>
  <si>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</si>
  <si>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</si>
  <si>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</si>
  <si>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</si>
  <si>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</si>
  <si>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</si>
  <si>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</si>
  <si>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</si>
  <si>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</si>
  <si>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</si>
  <si>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</si>
  <si>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</si>
  <si>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</si>
  <si>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</si>
  <si>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</si>
  <si>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</si>
  <si>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</si>
  <si>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</si>
  <si>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</si>
  <si>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</si>
  <si>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</si>
  <si>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</si>
  <si>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</si>
  <si>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</si>
  <si>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</si>
  <si>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</si>
  <si>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</si>
  <si>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</si>
  <si>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</si>
  <si>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</si>
  <si>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</si>
  <si>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</si>
  <si>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</si>
  <si>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</si>
  <si>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</si>
  <si>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</si>
  <si>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</si>
  <si>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</si>
  <si>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</si>
  <si>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</si>
  <si>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</si>
  <si>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</si>
  <si>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</si>
  <si>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</si>
  <si>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</si>
  <si>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</si>
  <si>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</si>
  <si>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</si>
  <si>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</si>
  <si>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</si>
  <si>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</si>
  <si>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</si>
  <si>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</si>
  <si>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</si>
  <si>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</si>
  <si>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</si>
  <si>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</si>
  <si>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</si>
  <si>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</si>
  <si>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</si>
  <si>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</si>
  <si>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</si>
  <si>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</si>
  <si>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</si>
  <si>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</si>
  <si>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</si>
  <si>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</si>
  <si>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</si>
  <si>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</si>
  <si>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</si>
  <si>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</si>
  <si>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</si>
  <si>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</si>
  <si>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</si>
  <si>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</si>
  <si>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</si>
  <si>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</si>
  <si>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</si>
  <si>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</si>
  <si>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</si>
  <si>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</si>
  <si>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</si>
  <si>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</si>
  <si>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</si>
  <si>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</si>
  <si>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</si>
  <si>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</si>
  <si>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</si>
  <si>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</si>
  <si>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</si>
  <si>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</si>
  <si>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</si>
  <si>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</si>
  <si>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</si>
  <si>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</si>
  <si>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</si>
  <si>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</si>
  <si>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</si>
  <si>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</si>
  <si>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</si>
  <si>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</si>
  <si>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</si>
  <si>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</si>
  <si>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</si>
  <si>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</si>
  <si>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</si>
  <si>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</si>
  <si>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</si>
  <si>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</si>
  <si>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</si>
  <si>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</si>
  <si>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</si>
  <si>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</si>
  <si>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</si>
  <si>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</si>
  <si>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</si>
  <si>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</si>
  <si>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</si>
  <si>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</si>
  <si>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</si>
  <si>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</si>
  <si>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</si>
  <si>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</si>
  <si>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</si>
  <si>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</si>
  <si>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</si>
  <si>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</si>
  <si>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</si>
  <si>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</si>
  <si>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</si>
  <si>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</si>
  <si>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</si>
  <si>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</si>
  <si>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</si>
  <si>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</si>
  <si>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</si>
  <si>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</si>
  <si>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</si>
  <si>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</si>
  <si>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</si>
  <si>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</si>
  <si>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</si>
  <si>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</si>
  <si>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</si>
  <si>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</si>
  <si>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</si>
  <si>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</si>
  <si>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</si>
  <si>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</si>
  <si>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</si>
  <si>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</si>
  <si>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</si>
  <si>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</si>
  <si>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</si>
  <si>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</si>
  <si>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</si>
  <si>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</si>
  <si>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</si>
  <si>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</si>
  <si>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</si>
  <si>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</si>
  <si>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</si>
  <si>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</si>
  <si>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</si>
  <si>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</si>
  <si>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</si>
  <si>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</si>
  <si>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</si>
  <si>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</si>
  <si>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</si>
  <si>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</si>
  <si>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</si>
  <si>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</si>
  <si>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</si>
  <si>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</si>
  <si>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</si>
  <si>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</si>
  <si>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</si>
  <si>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</si>
  <si>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</si>
  <si>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</si>
  <si>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</si>
  <si>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</si>
  <si>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</si>
  <si>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</si>
  <si>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</si>
  <si>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</si>
  <si>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</si>
  <si>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</si>
  <si>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</si>
  <si>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</si>
  <si>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</si>
  <si>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</si>
  <si>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</si>
  <si>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</si>
  <si>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</si>
  <si>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</si>
  <si>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</si>
  <si>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</si>
  <si>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</si>
  <si>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</si>
  <si>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</si>
  <si>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</si>
  <si>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</si>
  <si>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</si>
  <si>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</si>
  <si>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</si>
  <si>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</si>
  <si>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</si>
  <si>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</si>
  <si>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</si>
  <si>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</si>
  <si>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</si>
  <si>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</si>
  <si>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</si>
  <si>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</si>
  <si>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</si>
  <si>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</si>
  <si>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</si>
  <si>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</si>
  <si>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</si>
  <si>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</si>
  <si>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</si>
  <si>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</si>
  <si>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</si>
  <si>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</si>
  <si>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</si>
  <si>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</si>
  <si>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</si>
  <si>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</si>
  <si>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</si>
  <si>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</si>
  <si>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</si>
  <si>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</si>
  <si>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Freedom</t>
  </si>
  <si>
    <t>This is the total amount the Board carried over in prior year of $46,330, I was not sure if the current year amount would be</t>
  </si>
  <si>
    <t>reflected here in addition.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</si>
</sst>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110" zoomScaleNormal="110" workbookViewId="0">
      <pane xSplit="5" ySplit="3" topLeftCell="F505" activePane="bottomRight" state="frozen"/>
      <selection pane="topRight" activeCell="F1" sqref="F1"/>
      <selection pane="bottomLeft" activeCell="A4" sqref="A4"/>
      <selection pane="bottomRight" activeCell="C3" sqref="C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187</v>
      </c>
      <c r="C2" s="21">
        <v>187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197368.27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225312.25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4257.66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94449.26</v>
      </c>
      <c r="G13" s="18">
        <v>607.25</v>
      </c>
      <c r="H13" s="18">
        <v>5291.11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296075.19</v>
      </c>
      <c r="G19" s="41">
        <f>SUM(G9:G18)</f>
        <v>607.25</v>
      </c>
      <c r="H19" s="41">
        <f>SUM(H9:H18)</f>
        <v>5291.11</v>
      </c>
      <c r="I19" s="41">
        <f>SUM(I9:I18)</f>
        <v>0</v>
      </c>
      <c r="J19" s="41">
        <f>SUM(J9:J18)</f>
        <v>225312.25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334.7</v>
      </c>
      <c r="H22" s="18">
        <f>14184.82-10261.86</f>
        <v>3922.9599999999991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149946.97</v>
      </c>
      <c r="G24" s="18"/>
      <c r="H24" s="18">
        <v>1368.15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54638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204584.97</v>
      </c>
      <c r="G32" s="41">
        <f>SUM(G22:G31)</f>
        <v>334.7</v>
      </c>
      <c r="H32" s="41">
        <f>SUM(H22:H31)</f>
        <v>5291.1099999999988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>
        <v>46330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f>607.25-334.7</f>
        <v>272.55</v>
      </c>
      <c r="H48" s="18"/>
      <c r="I48" s="18"/>
      <c r="J48" s="13">
        <f>SUM(I459)</f>
        <v>225312.25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5221.22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39939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91490.22</v>
      </c>
      <c r="G51" s="41">
        <f>SUM(G35:G50)</f>
        <v>272.55</v>
      </c>
      <c r="H51" s="41">
        <f>SUM(H35:H50)</f>
        <v>0</v>
      </c>
      <c r="I51" s="41">
        <f>SUM(I35:I50)</f>
        <v>0</v>
      </c>
      <c r="J51" s="41">
        <f>SUM(J35:J50)</f>
        <v>225312.25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296075.19</v>
      </c>
      <c r="G52" s="41">
        <f>G51+G32</f>
        <v>607.25</v>
      </c>
      <c r="H52" s="41">
        <f>H51+H32</f>
        <v>5291.1099999999988</v>
      </c>
      <c r="I52" s="41">
        <f>I51+I32</f>
        <v>0</v>
      </c>
      <c r="J52" s="41">
        <f>J51+J32</f>
        <v>225312.25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2378733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2378733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9270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80216.39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89486.39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>
        <v>60371.33</v>
      </c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60371.33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154.88</v>
      </c>
      <c r="G96" s="18"/>
      <c r="H96" s="18"/>
      <c r="I96" s="18"/>
      <c r="J96" s="18">
        <v>129.55000000000001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/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10857.97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11012.849999999999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129.55000000000001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2539603.5700000003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129.55000000000001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/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1180021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1180021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1180021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16951.310000000001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19597.400000000001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3217.81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11820.71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11820.71</v>
      </c>
      <c r="G162" s="41">
        <f>SUM(G150:G161)</f>
        <v>3217.81</v>
      </c>
      <c r="H162" s="41">
        <f>SUM(H150:H161)</f>
        <v>36548.710000000006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11820.71</v>
      </c>
      <c r="G169" s="41">
        <f>G147+G162+SUM(G163:G168)</f>
        <v>3217.81</v>
      </c>
      <c r="H169" s="41">
        <f>H147+H162+SUM(H163:H168)</f>
        <v>36548.710000000006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57000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57000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57000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3731445.2800000003</v>
      </c>
      <c r="G193" s="47">
        <f>G112+G140+G169+G192</f>
        <v>3217.81</v>
      </c>
      <c r="H193" s="47">
        <f>H112+H140+H169+H192</f>
        <v>36548.710000000006</v>
      </c>
      <c r="I193" s="47">
        <f>I112+I140+I169+I192</f>
        <v>0</v>
      </c>
      <c r="J193" s="47">
        <f>J112+J140+J192</f>
        <v>57129.55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410035.45</v>
      </c>
      <c r="G197" s="18">
        <v>162443.06</v>
      </c>
      <c r="H197" s="18">
        <v>31107.7</v>
      </c>
      <c r="I197" s="18">
        <v>26735.22</v>
      </c>
      <c r="J197" s="18">
        <v>38810.449999999997</v>
      </c>
      <c r="K197" s="18">
        <v>9.1199999999999992</v>
      </c>
      <c r="L197" s="19">
        <f>SUM(F197:K197)</f>
        <v>669140.99999999988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129972.55</v>
      </c>
      <c r="G198" s="18">
        <v>48492.6</v>
      </c>
      <c r="H198" s="18">
        <v>8602.7199999999993</v>
      </c>
      <c r="I198" s="18">
        <v>828.67</v>
      </c>
      <c r="J198" s="18"/>
      <c r="K198" s="18"/>
      <c r="L198" s="19">
        <f>SUM(F198:K198)</f>
        <v>187896.54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1895.74</v>
      </c>
      <c r="G200" s="18">
        <v>183.97</v>
      </c>
      <c r="H200" s="18">
        <v>4404</v>
      </c>
      <c r="I200" s="18"/>
      <c r="J200" s="18"/>
      <c r="K200" s="18"/>
      <c r="L200" s="19">
        <f>SUM(F200:K200)</f>
        <v>6483.71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116896.89</v>
      </c>
      <c r="G202" s="18">
        <v>38804.22</v>
      </c>
      <c r="H202" s="18">
        <v>54245.54</v>
      </c>
      <c r="I202" s="18">
        <v>953.37</v>
      </c>
      <c r="J202" s="18">
        <v>222.92</v>
      </c>
      <c r="K202" s="18">
        <v>427</v>
      </c>
      <c r="L202" s="19">
        <f t="shared" ref="L202:L208" si="0">SUM(F202:K202)</f>
        <v>211549.94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3992.55</v>
      </c>
      <c r="G203" s="18">
        <v>5303.26</v>
      </c>
      <c r="H203" s="18">
        <v>4743.0600000000004</v>
      </c>
      <c r="I203" s="18">
        <v>17024.39</v>
      </c>
      <c r="J203" s="18"/>
      <c r="K203" s="18"/>
      <c r="L203" s="19">
        <f t="shared" si="0"/>
        <v>31063.260000000002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7750</v>
      </c>
      <c r="G204" s="18">
        <v>592.91</v>
      </c>
      <c r="H204" s="18">
        <f>-880.61+181210.66</f>
        <v>180330.05000000002</v>
      </c>
      <c r="I204" s="18"/>
      <c r="J204" s="18">
        <v>2811.49</v>
      </c>
      <c r="K204" s="18"/>
      <c r="L204" s="19">
        <f t="shared" si="0"/>
        <v>191484.45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99929.64</v>
      </c>
      <c r="G205" s="18">
        <v>54991.14</v>
      </c>
      <c r="H205" s="18">
        <v>6190.57</v>
      </c>
      <c r="I205" s="18">
        <v>944.66</v>
      </c>
      <c r="J205" s="18">
        <v>10455.5</v>
      </c>
      <c r="K205" s="18"/>
      <c r="L205" s="19">
        <f t="shared" si="0"/>
        <v>172511.51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39084.49+8192.68</f>
        <v>47277.17</v>
      </c>
      <c r="G207" s="18">
        <f>666.23+15158.87</f>
        <v>15825.1</v>
      </c>
      <c r="H207" s="18">
        <f>55702.79+18972.03</f>
        <v>74674.820000000007</v>
      </c>
      <c r="I207" s="18">
        <f>409.94+52447.38</f>
        <v>52857.32</v>
      </c>
      <c r="J207" s="18">
        <v>56711.96</v>
      </c>
      <c r="K207" s="18"/>
      <c r="L207" s="19">
        <f t="shared" si="0"/>
        <v>247346.37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f>733.23+48489.74</f>
        <v>49222.97</v>
      </c>
      <c r="G208" s="18">
        <v>48726.34</v>
      </c>
      <c r="H208" s="18">
        <v>20684.009999999998</v>
      </c>
      <c r="I208" s="18">
        <v>22430.65</v>
      </c>
      <c r="J208" s="18">
        <v>69061.02</v>
      </c>
      <c r="K208" s="18">
        <v>208</v>
      </c>
      <c r="L208" s="19">
        <f t="shared" si="0"/>
        <v>210332.99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866972.96000000008</v>
      </c>
      <c r="G211" s="41">
        <f t="shared" si="1"/>
        <v>375362.6</v>
      </c>
      <c r="H211" s="41">
        <f t="shared" si="1"/>
        <v>384982.47000000003</v>
      </c>
      <c r="I211" s="41">
        <f t="shared" si="1"/>
        <v>121774.28</v>
      </c>
      <c r="J211" s="41">
        <f t="shared" si="1"/>
        <v>178073.34</v>
      </c>
      <c r="K211" s="41">
        <f t="shared" si="1"/>
        <v>644.12</v>
      </c>
      <c r="L211" s="41">
        <f t="shared" si="1"/>
        <v>1927809.7699999998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>
        <f>660499+8400</f>
        <v>668899</v>
      </c>
      <c r="I215" s="18"/>
      <c r="J215" s="18"/>
      <c r="K215" s="18"/>
      <c r="L215" s="19">
        <f>SUM(F215:K215)</f>
        <v>668899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>
        <v>40718</v>
      </c>
      <c r="I216" s="18"/>
      <c r="J216" s="18"/>
      <c r="K216" s="18"/>
      <c r="L216" s="19">
        <f>SUM(F216:K216)</f>
        <v>40718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14056.29</v>
      </c>
      <c r="G226" s="18">
        <v>14124.88</v>
      </c>
      <c r="H226" s="18">
        <v>5995.92</v>
      </c>
      <c r="I226" s="18">
        <v>4579.12</v>
      </c>
      <c r="J226" s="18">
        <v>20019.53</v>
      </c>
      <c r="K226" s="18"/>
      <c r="L226" s="19">
        <f t="shared" si="2"/>
        <v>58775.74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14056.29</v>
      </c>
      <c r="G229" s="41">
        <f>SUM(G215:G228)</f>
        <v>14124.88</v>
      </c>
      <c r="H229" s="41">
        <f>SUM(H215:H228)</f>
        <v>715612.92</v>
      </c>
      <c r="I229" s="41">
        <f>SUM(I215:I228)</f>
        <v>4579.12</v>
      </c>
      <c r="J229" s="41">
        <f>SUM(J215:J228)</f>
        <v>20019.53</v>
      </c>
      <c r="K229" s="41">
        <f t="shared" si="3"/>
        <v>0</v>
      </c>
      <c r="L229" s="41">
        <f t="shared" si="3"/>
        <v>768392.74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931876</v>
      </c>
      <c r="I233" s="18"/>
      <c r="J233" s="18"/>
      <c r="K233" s="18"/>
      <c r="L233" s="19">
        <f>SUM(F233:K233)</f>
        <v>931876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8699.19</v>
      </c>
      <c r="I234" s="18"/>
      <c r="J234" s="18"/>
      <c r="K234" s="18"/>
      <c r="L234" s="19">
        <f>SUM(F234:K234)</f>
        <v>8699.19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33495.370000000003</v>
      </c>
      <c r="G244" s="18">
        <v>33658.81</v>
      </c>
      <c r="H244" s="18">
        <v>14287.94</v>
      </c>
      <c r="I244" s="18">
        <v>10911.8</v>
      </c>
      <c r="J244" s="18">
        <v>47705.440000000002</v>
      </c>
      <c r="K244" s="18"/>
      <c r="L244" s="19">
        <f t="shared" si="4"/>
        <v>140059.35999999999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33495.370000000003</v>
      </c>
      <c r="G247" s="41">
        <f t="shared" si="5"/>
        <v>33658.81</v>
      </c>
      <c r="H247" s="41">
        <f t="shared" si="5"/>
        <v>954863.12999999989</v>
      </c>
      <c r="I247" s="41">
        <f t="shared" si="5"/>
        <v>10911.8</v>
      </c>
      <c r="J247" s="41">
        <f t="shared" si="5"/>
        <v>47705.440000000002</v>
      </c>
      <c r="K247" s="41">
        <f t="shared" si="5"/>
        <v>0</v>
      </c>
      <c r="L247" s="41">
        <f t="shared" si="5"/>
        <v>1080634.5499999998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914524.62000000011</v>
      </c>
      <c r="G257" s="41">
        <f t="shared" si="8"/>
        <v>423146.29</v>
      </c>
      <c r="H257" s="41">
        <f t="shared" si="8"/>
        <v>2055458.52</v>
      </c>
      <c r="I257" s="41">
        <f t="shared" si="8"/>
        <v>137265.19999999998</v>
      </c>
      <c r="J257" s="41">
        <f t="shared" si="8"/>
        <v>245798.31</v>
      </c>
      <c r="K257" s="41">
        <f t="shared" si="8"/>
        <v>644.12</v>
      </c>
      <c r="L257" s="41">
        <f t="shared" si="8"/>
        <v>3776837.0599999996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f>7000+50000</f>
        <v>57000</v>
      </c>
      <c r="L266" s="19">
        <f t="shared" si="9"/>
        <v>57000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57000</v>
      </c>
      <c r="L270" s="41">
        <f t="shared" si="9"/>
        <v>57000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914524.62000000011</v>
      </c>
      <c r="G271" s="42">
        <f t="shared" si="11"/>
        <v>423146.29</v>
      </c>
      <c r="H271" s="42">
        <f t="shared" si="11"/>
        <v>2055458.52</v>
      </c>
      <c r="I271" s="42">
        <f t="shared" si="11"/>
        <v>137265.19999999998</v>
      </c>
      <c r="J271" s="42">
        <f t="shared" si="11"/>
        <v>245798.31</v>
      </c>
      <c r="K271" s="42">
        <f t="shared" si="11"/>
        <v>57644.12</v>
      </c>
      <c r="L271" s="42">
        <f t="shared" si="11"/>
        <v>3833837.0599999996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11781.34</v>
      </c>
      <c r="G276" s="18">
        <v>1085.79</v>
      </c>
      <c r="H276" s="18">
        <v>90</v>
      </c>
      <c r="I276" s="18">
        <v>2747.95</v>
      </c>
      <c r="J276" s="18">
        <v>13358.72</v>
      </c>
      <c r="K276" s="18">
        <v>1199.2</v>
      </c>
      <c r="L276" s="19">
        <f>SUM(F276:K276)</f>
        <v>30263.000000000004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>
        <v>300</v>
      </c>
      <c r="J277" s="18"/>
      <c r="K277" s="18"/>
      <c r="L277" s="19">
        <f>SUM(F277:K277)</f>
        <v>300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>
        <v>105.71</v>
      </c>
      <c r="I281" s="18">
        <v>5880</v>
      </c>
      <c r="J281" s="18"/>
      <c r="K281" s="18"/>
      <c r="L281" s="19">
        <f t="shared" ref="L281:L287" si="12">SUM(F281:K281)</f>
        <v>5985.71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11781.34</v>
      </c>
      <c r="G290" s="42">
        <f t="shared" si="13"/>
        <v>1085.79</v>
      </c>
      <c r="H290" s="42">
        <f t="shared" si="13"/>
        <v>195.70999999999998</v>
      </c>
      <c r="I290" s="42">
        <f t="shared" si="13"/>
        <v>8927.9500000000007</v>
      </c>
      <c r="J290" s="42">
        <f t="shared" si="13"/>
        <v>13358.72</v>
      </c>
      <c r="K290" s="42">
        <f t="shared" si="13"/>
        <v>1199.2</v>
      </c>
      <c r="L290" s="41">
        <f t="shared" si="13"/>
        <v>36548.710000000006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11781.34</v>
      </c>
      <c r="G338" s="41">
        <f t="shared" si="20"/>
        <v>1085.79</v>
      </c>
      <c r="H338" s="41">
        <f t="shared" si="20"/>
        <v>195.70999999999998</v>
      </c>
      <c r="I338" s="41">
        <f t="shared" si="20"/>
        <v>8927.9500000000007</v>
      </c>
      <c r="J338" s="41">
        <f t="shared" si="20"/>
        <v>13358.72</v>
      </c>
      <c r="K338" s="41">
        <f t="shared" si="20"/>
        <v>1199.2</v>
      </c>
      <c r="L338" s="41">
        <f t="shared" si="20"/>
        <v>36548.710000000006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11781.34</v>
      </c>
      <c r="G352" s="41">
        <f>G338</f>
        <v>1085.79</v>
      </c>
      <c r="H352" s="41">
        <f>H338</f>
        <v>195.70999999999998</v>
      </c>
      <c r="I352" s="41">
        <f>I338</f>
        <v>8927.9500000000007</v>
      </c>
      <c r="J352" s="41">
        <f>J338</f>
        <v>13358.72</v>
      </c>
      <c r="K352" s="47">
        <f>K338+K351</f>
        <v>1199.2</v>
      </c>
      <c r="L352" s="41">
        <f>L338+L351</f>
        <v>36548.710000000006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515.67999999999995</v>
      </c>
      <c r="G358" s="18"/>
      <c r="H358" s="18"/>
      <c r="I358" s="18">
        <v>2429.58</v>
      </c>
      <c r="J358" s="18"/>
      <c r="K358" s="18"/>
      <c r="L358" s="13">
        <f>SUM(F358:K358)</f>
        <v>2945.2599999999998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515.67999999999995</v>
      </c>
      <c r="G362" s="47">
        <f t="shared" si="22"/>
        <v>0</v>
      </c>
      <c r="H362" s="47">
        <f t="shared" si="22"/>
        <v>0</v>
      </c>
      <c r="I362" s="47">
        <f t="shared" si="22"/>
        <v>2429.58</v>
      </c>
      <c r="J362" s="47">
        <f t="shared" si="22"/>
        <v>0</v>
      </c>
      <c r="K362" s="47">
        <f t="shared" si="22"/>
        <v>0</v>
      </c>
      <c r="L362" s="47">
        <f t="shared" si="22"/>
        <v>2945.2599999999998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2288.4699999999998</v>
      </c>
      <c r="G367" s="18"/>
      <c r="H367" s="18"/>
      <c r="I367" s="56">
        <f>SUM(F367:H367)</f>
        <v>2288.4699999999998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141.11000000000001</v>
      </c>
      <c r="G368" s="63"/>
      <c r="H368" s="63"/>
      <c r="I368" s="56">
        <f>SUM(F368:H368)</f>
        <v>141.11000000000001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2429.58</v>
      </c>
      <c r="G369" s="47">
        <f>SUM(G367:G368)</f>
        <v>0</v>
      </c>
      <c r="H369" s="47">
        <f>SUM(H367:H368)</f>
        <v>0</v>
      </c>
      <c r="I369" s="47">
        <f>SUM(I367:I368)</f>
        <v>2429.58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>
        <v>7000</v>
      </c>
      <c r="H389" s="18">
        <v>24.75</v>
      </c>
      <c r="I389" s="18"/>
      <c r="J389" s="24" t="s">
        <v>289</v>
      </c>
      <c r="K389" s="24" t="s">
        <v>289</v>
      </c>
      <c r="L389" s="56">
        <f t="shared" si="25"/>
        <v>7024.75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>
        <v>20000</v>
      </c>
      <c r="H390" s="18">
        <v>51.29</v>
      </c>
      <c r="I390" s="18"/>
      <c r="J390" s="24" t="s">
        <v>289</v>
      </c>
      <c r="K390" s="24" t="s">
        <v>289</v>
      </c>
      <c r="L390" s="56">
        <f t="shared" si="25"/>
        <v>20051.29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27000</v>
      </c>
      <c r="H393" s="139">
        <f>SUM(H387:H392)</f>
        <v>76.039999999999992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27076.04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20000</v>
      </c>
      <c r="H397" s="18">
        <v>47.74</v>
      </c>
      <c r="I397" s="18"/>
      <c r="J397" s="24" t="s">
        <v>289</v>
      </c>
      <c r="K397" s="24" t="s">
        <v>289</v>
      </c>
      <c r="L397" s="56">
        <f t="shared" si="26"/>
        <v>20047.740000000002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>
        <v>10000</v>
      </c>
      <c r="H399" s="18">
        <v>5.77</v>
      </c>
      <c r="I399" s="18"/>
      <c r="J399" s="24" t="s">
        <v>289</v>
      </c>
      <c r="K399" s="24" t="s">
        <v>289</v>
      </c>
      <c r="L399" s="56">
        <f t="shared" si="26"/>
        <v>10005.77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30000</v>
      </c>
      <c r="H401" s="47">
        <f>SUM(H395:H400)</f>
        <v>53.510000000000005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30053.510000000002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57000</v>
      </c>
      <c r="H408" s="47">
        <f>H393+H401+H407</f>
        <v>129.55000000000001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57129.55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v>225312.25</v>
      </c>
      <c r="H440" s="18"/>
      <c r="I440" s="56">
        <f t="shared" si="33"/>
        <v>225312.25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225312.25</v>
      </c>
      <c r="H446" s="13">
        <f>SUM(H439:H445)</f>
        <v>0</v>
      </c>
      <c r="I446" s="13">
        <f>SUM(I439:I445)</f>
        <v>225312.25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225312.25</v>
      </c>
      <c r="H459" s="18"/>
      <c r="I459" s="56">
        <f t="shared" si="34"/>
        <v>225312.25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225312.25</v>
      </c>
      <c r="H460" s="83">
        <f>SUM(H454:H459)</f>
        <v>0</v>
      </c>
      <c r="I460" s="83">
        <f>SUM(I454:I459)</f>
        <v>225312.25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225312.25</v>
      </c>
      <c r="H461" s="42">
        <f>H452+H460</f>
        <v>0</v>
      </c>
      <c r="I461" s="42">
        <f>I452+I460</f>
        <v>225312.25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193882</v>
      </c>
      <c r="G465" s="18">
        <v>0</v>
      </c>
      <c r="H465" s="18">
        <v>0</v>
      </c>
      <c r="I465" s="18">
        <v>0</v>
      </c>
      <c r="J465" s="18">
        <v>196993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3731445.2800000003</v>
      </c>
      <c r="G468" s="18">
        <f t="shared" ref="G468:H468" si="35">G193</f>
        <v>3217.81</v>
      </c>
      <c r="H468" s="18">
        <f t="shared" si="35"/>
        <v>36548.710000000006</v>
      </c>
      <c r="I468" s="18"/>
      <c r="J468" s="18">
        <v>57129.55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3731445.2800000003</v>
      </c>
      <c r="G470" s="53">
        <f>SUM(G468:G469)</f>
        <v>3217.81</v>
      </c>
      <c r="H470" s="53">
        <f>SUM(H468:H469)</f>
        <v>36548.710000000006</v>
      </c>
      <c r="I470" s="53">
        <f>SUM(I468:I469)</f>
        <v>0</v>
      </c>
      <c r="J470" s="53">
        <f>SUM(J468:J469)</f>
        <v>57129.55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3833837.0599999996</v>
      </c>
      <c r="G472" s="18">
        <f>L362</f>
        <v>2945.2599999999998</v>
      </c>
      <c r="H472" s="18">
        <f>L352</f>
        <v>36548.710000000006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>
        <f>-28+28838.3</f>
        <v>28810.3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3833837.0599999996</v>
      </c>
      <c r="G474" s="53">
        <f>SUM(G472:G473)</f>
        <v>2945.2599999999998</v>
      </c>
      <c r="H474" s="53">
        <f>SUM(H472:H473)</f>
        <v>36548.710000000006</v>
      </c>
      <c r="I474" s="53">
        <f>SUM(I472:I473)</f>
        <v>0</v>
      </c>
      <c r="J474" s="53">
        <f>SUM(J472:J473)</f>
        <v>28810.3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91490.220000000671</v>
      </c>
      <c r="G476" s="53">
        <f>(G465+G470)- G474</f>
        <v>272.55000000000018</v>
      </c>
      <c r="H476" s="53">
        <f>(H465+H470)- H474</f>
        <v>0</v>
      </c>
      <c r="I476" s="53">
        <f>(I465+I470)- I474</f>
        <v>0</v>
      </c>
      <c r="J476" s="53">
        <f>(J465+J470)- J474</f>
        <v>225312.25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6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6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6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6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6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6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6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6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129972.55</v>
      </c>
      <c r="G521" s="18">
        <v>48492.6</v>
      </c>
      <c r="H521" s="18">
        <v>8602.7199999999993</v>
      </c>
      <c r="I521" s="18">
        <f>828.67+300</f>
        <v>1128.67</v>
      </c>
      <c r="J521" s="18"/>
      <c r="K521" s="18"/>
      <c r="L521" s="88">
        <f>SUM(F521:K521)</f>
        <v>188196.54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>
        <v>40718</v>
      </c>
      <c r="I522" s="18"/>
      <c r="J522" s="18"/>
      <c r="K522" s="18"/>
      <c r="L522" s="88">
        <f>SUM(F522:K522)</f>
        <v>40718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8699.19</v>
      </c>
      <c r="I523" s="18"/>
      <c r="J523" s="18"/>
      <c r="K523" s="18"/>
      <c r="L523" s="88">
        <f>SUM(F523:K523)</f>
        <v>8699.19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129972.55</v>
      </c>
      <c r="G524" s="108">
        <f t="shared" ref="G524:L524" si="37">SUM(G521:G523)</f>
        <v>48492.6</v>
      </c>
      <c r="H524" s="108">
        <f t="shared" si="37"/>
        <v>58019.91</v>
      </c>
      <c r="I524" s="108">
        <f t="shared" si="37"/>
        <v>1128.67</v>
      </c>
      <c r="J524" s="108">
        <f t="shared" si="37"/>
        <v>0</v>
      </c>
      <c r="K524" s="108">
        <f t="shared" si="37"/>
        <v>0</v>
      </c>
      <c r="L524" s="89">
        <f t="shared" si="37"/>
        <v>237613.73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32680.89</v>
      </c>
      <c r="G526" s="18">
        <v>17775.63</v>
      </c>
      <c r="H526" s="18">
        <v>52325.54</v>
      </c>
      <c r="I526" s="18">
        <v>476.06</v>
      </c>
      <c r="J526" s="18"/>
      <c r="K526" s="18"/>
      <c r="L526" s="88">
        <f>SUM(F526:K526)</f>
        <v>103258.12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32680.89</v>
      </c>
      <c r="G529" s="89">
        <f t="shared" ref="G529:L529" si="38">SUM(G526:G528)</f>
        <v>17775.63</v>
      </c>
      <c r="H529" s="89">
        <f t="shared" si="38"/>
        <v>52325.54</v>
      </c>
      <c r="I529" s="89">
        <f t="shared" si="38"/>
        <v>476.06</v>
      </c>
      <c r="J529" s="89">
        <f t="shared" si="38"/>
        <v>0</v>
      </c>
      <c r="K529" s="89">
        <f t="shared" si="38"/>
        <v>0</v>
      </c>
      <c r="L529" s="89">
        <f t="shared" si="38"/>
        <v>103258.12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22085.73</v>
      </c>
      <c r="G531" s="18">
        <f>5294.68+98.96+39.71+1626.77+3127.37+30.26+45.6</f>
        <v>10263.350000000002</v>
      </c>
      <c r="H531" s="18">
        <f>46.81+1614</f>
        <v>1660.81</v>
      </c>
      <c r="I531" s="18">
        <v>48.35</v>
      </c>
      <c r="J531" s="18"/>
      <c r="K531" s="18">
        <v>451.92</v>
      </c>
      <c r="L531" s="88">
        <f>SUM(F531:K531)</f>
        <v>34510.159999999996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22085.73</v>
      </c>
      <c r="G534" s="89">
        <f t="shared" ref="G534:L534" si="39">SUM(G531:G533)</f>
        <v>10263.350000000002</v>
      </c>
      <c r="H534" s="89">
        <f t="shared" si="39"/>
        <v>1660.81</v>
      </c>
      <c r="I534" s="89">
        <f t="shared" si="39"/>
        <v>48.35</v>
      </c>
      <c r="J534" s="89">
        <f t="shared" si="39"/>
        <v>0</v>
      </c>
      <c r="K534" s="89">
        <f t="shared" si="39"/>
        <v>451.92</v>
      </c>
      <c r="L534" s="89">
        <f t="shared" si="39"/>
        <v>34510.159999999996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40">SUM(G536:G538)</f>
        <v>0</v>
      </c>
      <c r="H539" s="89">
        <f t="shared" si="40"/>
        <v>0</v>
      </c>
      <c r="I539" s="89">
        <f t="shared" si="40"/>
        <v>0</v>
      </c>
      <c r="J539" s="89">
        <f t="shared" si="40"/>
        <v>0</v>
      </c>
      <c r="K539" s="89">
        <f t="shared" si="40"/>
        <v>0</v>
      </c>
      <c r="L539" s="89">
        <f t="shared" si="40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3639.98</v>
      </c>
      <c r="G541" s="18">
        <v>338.14</v>
      </c>
      <c r="H541" s="18"/>
      <c r="I541" s="18"/>
      <c r="J541" s="18"/>
      <c r="K541" s="18"/>
      <c r="L541" s="88">
        <f>SUM(F541:K541)</f>
        <v>3978.12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3639.98</v>
      </c>
      <c r="G544" s="193">
        <f t="shared" ref="G544:L544" si="41">SUM(G541:G543)</f>
        <v>338.14</v>
      </c>
      <c r="H544" s="193">
        <f t="shared" si="41"/>
        <v>0</v>
      </c>
      <c r="I544" s="193">
        <f t="shared" si="41"/>
        <v>0</v>
      </c>
      <c r="J544" s="193">
        <f t="shared" si="41"/>
        <v>0</v>
      </c>
      <c r="K544" s="193">
        <f t="shared" si="41"/>
        <v>0</v>
      </c>
      <c r="L544" s="193">
        <f t="shared" si="41"/>
        <v>3978.12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188379.15000000002</v>
      </c>
      <c r="G545" s="89">
        <f t="shared" ref="G545:L545" si="42">G524+G529+G534+G539+G544</f>
        <v>76869.72</v>
      </c>
      <c r="H545" s="89">
        <f t="shared" si="42"/>
        <v>112006.26000000001</v>
      </c>
      <c r="I545" s="89">
        <f t="shared" si="42"/>
        <v>1653.08</v>
      </c>
      <c r="J545" s="89">
        <f t="shared" si="42"/>
        <v>0</v>
      </c>
      <c r="K545" s="89">
        <f t="shared" si="42"/>
        <v>451.92</v>
      </c>
      <c r="L545" s="89">
        <f t="shared" si="42"/>
        <v>379360.12999999995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188196.54</v>
      </c>
      <c r="G549" s="87">
        <f>L526</f>
        <v>103258.12</v>
      </c>
      <c r="H549" s="87">
        <f>L531</f>
        <v>34510.159999999996</v>
      </c>
      <c r="I549" s="87">
        <f>L536</f>
        <v>0</v>
      </c>
      <c r="J549" s="87">
        <f>L541</f>
        <v>3978.12</v>
      </c>
      <c r="K549" s="87">
        <f>SUM(F549:J549)</f>
        <v>329942.94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40718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40718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8699.19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8699.19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3">SUM(F549:F551)</f>
        <v>237613.73</v>
      </c>
      <c r="G552" s="89">
        <f t="shared" si="43"/>
        <v>103258.12</v>
      </c>
      <c r="H552" s="89">
        <f t="shared" si="43"/>
        <v>34510.159999999996</v>
      </c>
      <c r="I552" s="89">
        <f t="shared" si="43"/>
        <v>0</v>
      </c>
      <c r="J552" s="89">
        <f t="shared" si="43"/>
        <v>3978.12</v>
      </c>
      <c r="K552" s="89">
        <f t="shared" si="43"/>
        <v>379360.13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4">SUM(F557:F559)</f>
        <v>0</v>
      </c>
      <c r="G560" s="108">
        <f t="shared" si="44"/>
        <v>0</v>
      </c>
      <c r="H560" s="108">
        <f t="shared" si="44"/>
        <v>0</v>
      </c>
      <c r="I560" s="108">
        <f t="shared" si="44"/>
        <v>0</v>
      </c>
      <c r="J560" s="108">
        <f t="shared" si="44"/>
        <v>0</v>
      </c>
      <c r="K560" s="108">
        <f t="shared" si="44"/>
        <v>0</v>
      </c>
      <c r="L560" s="89">
        <f t="shared" si="44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5">SUM(F562:F564)</f>
        <v>0</v>
      </c>
      <c r="G565" s="89">
        <f t="shared" si="45"/>
        <v>0</v>
      </c>
      <c r="H565" s="89">
        <f t="shared" si="45"/>
        <v>0</v>
      </c>
      <c r="I565" s="89">
        <f t="shared" si="45"/>
        <v>0</v>
      </c>
      <c r="J565" s="89">
        <f t="shared" si="45"/>
        <v>0</v>
      </c>
      <c r="K565" s="89">
        <f t="shared" si="45"/>
        <v>0</v>
      </c>
      <c r="L565" s="89">
        <f t="shared" si="45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6">SUM(G567:G569)</f>
        <v>0</v>
      </c>
      <c r="H570" s="193">
        <f t="shared" si="46"/>
        <v>0</v>
      </c>
      <c r="I570" s="193">
        <f t="shared" si="46"/>
        <v>0</v>
      </c>
      <c r="J570" s="193">
        <f t="shared" si="46"/>
        <v>0</v>
      </c>
      <c r="K570" s="193">
        <f t="shared" si="46"/>
        <v>0</v>
      </c>
      <c r="L570" s="193">
        <f t="shared" si="46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7">G560+G565+G570</f>
        <v>0</v>
      </c>
      <c r="H571" s="89">
        <f t="shared" si="47"/>
        <v>0</v>
      </c>
      <c r="I571" s="89">
        <f t="shared" si="47"/>
        <v>0</v>
      </c>
      <c r="J571" s="89">
        <f t="shared" si="47"/>
        <v>0</v>
      </c>
      <c r="K571" s="89">
        <f t="shared" si="47"/>
        <v>0</v>
      </c>
      <c r="L571" s="89">
        <f t="shared" si="47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>
        <v>660499</v>
      </c>
      <c r="H575" s="18">
        <f>H233</f>
        <v>931876</v>
      </c>
      <c r="I575" s="87">
        <f>SUM(F575:H575)</f>
        <v>1592375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>
        <v>8400</v>
      </c>
      <c r="H576" s="18"/>
      <c r="I576" s="87">
        <f t="shared" ref="I576:I587" si="48">SUM(F576:H576)</f>
        <v>8400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8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8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>
        <f>H216</f>
        <v>40718</v>
      </c>
      <c r="H579" s="18"/>
      <c r="I579" s="87">
        <f t="shared" si="48"/>
        <v>40718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8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8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>
        <f>H234</f>
        <v>8699.19</v>
      </c>
      <c r="I582" s="87">
        <f t="shared" si="48"/>
        <v>8699.19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8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8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8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8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8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205621.64</v>
      </c>
      <c r="I591" s="18">
        <f>L226</f>
        <v>58775.74</v>
      </c>
      <c r="J591" s="18">
        <f>L244</f>
        <v>140059.35999999999</v>
      </c>
      <c r="K591" s="104">
        <f t="shared" ref="K591:K597" si="49">SUM(H591:J591)</f>
        <v>404456.74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3978.12</v>
      </c>
      <c r="I592" s="18"/>
      <c r="J592" s="18"/>
      <c r="K592" s="104">
        <f t="shared" si="49"/>
        <v>3978.12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9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9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733.23</v>
      </c>
      <c r="I595" s="18"/>
      <c r="J595" s="18"/>
      <c r="K595" s="104">
        <f t="shared" si="49"/>
        <v>733.23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9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9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210332.99000000002</v>
      </c>
      <c r="I598" s="108">
        <f>SUM(I591:I597)</f>
        <v>58775.74</v>
      </c>
      <c r="J598" s="108">
        <f>SUM(J591:J597)</f>
        <v>140059.35999999999</v>
      </c>
      <c r="K598" s="108">
        <f>SUM(K591:K597)</f>
        <v>409168.08999999997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191432.06</v>
      </c>
      <c r="I604" s="18">
        <v>20019.53</v>
      </c>
      <c r="J604" s="18">
        <v>47705.440000000002</v>
      </c>
      <c r="K604" s="104">
        <f>SUM(H604:J604)</f>
        <v>259157.03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191432.06</v>
      </c>
      <c r="I605" s="108">
        <f>SUM(I602:I604)</f>
        <v>20019.53</v>
      </c>
      <c r="J605" s="108">
        <f>SUM(J602:J604)</f>
        <v>47705.440000000002</v>
      </c>
      <c r="K605" s="108">
        <f>SUM(K602:K604)</f>
        <v>259157.03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1895.74</v>
      </c>
      <c r="G611" s="18">
        <v>183.97</v>
      </c>
      <c r="H611" s="18"/>
      <c r="I611" s="18"/>
      <c r="J611" s="18"/>
      <c r="K611" s="18"/>
      <c r="L611" s="88">
        <f>SUM(F611:K611)</f>
        <v>2079.71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50">SUM(F611:F613)</f>
        <v>1895.74</v>
      </c>
      <c r="G614" s="108">
        <f t="shared" si="50"/>
        <v>183.97</v>
      </c>
      <c r="H614" s="108">
        <f t="shared" si="50"/>
        <v>0</v>
      </c>
      <c r="I614" s="108">
        <f t="shared" si="50"/>
        <v>0</v>
      </c>
      <c r="J614" s="108">
        <f t="shared" si="50"/>
        <v>0</v>
      </c>
      <c r="K614" s="108">
        <f t="shared" si="50"/>
        <v>0</v>
      </c>
      <c r="L614" s="89">
        <f t="shared" si="50"/>
        <v>2079.71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296075.19</v>
      </c>
      <c r="H617" s="109">
        <f>SUM(F52)</f>
        <v>296075.19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607.25</v>
      </c>
      <c r="H618" s="109">
        <f>SUM(G52)</f>
        <v>607.25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5291.11</v>
      </c>
      <c r="H619" s="109">
        <f>SUM(H52)</f>
        <v>5291.1099999999988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225312.25</v>
      </c>
      <c r="H621" s="109">
        <f>SUM(J52)</f>
        <v>225312.25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91490.22</v>
      </c>
      <c r="H622" s="109">
        <f>F476</f>
        <v>91490.220000000671</v>
      </c>
      <c r="I622" s="121" t="s">
        <v>101</v>
      </c>
      <c r="J622" s="109">
        <f t="shared" ref="J622:J655" si="51">G622-H622</f>
        <v>-6.6938810050487518E-10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272.55</v>
      </c>
      <c r="H623" s="109">
        <f>G476</f>
        <v>272.55000000000018</v>
      </c>
      <c r="I623" s="121" t="s">
        <v>102</v>
      </c>
      <c r="J623" s="109">
        <f t="shared" si="51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1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1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225312.25</v>
      </c>
      <c r="H626" s="109">
        <f>J476</f>
        <v>225312.25</v>
      </c>
      <c r="I626" s="140" t="s">
        <v>105</v>
      </c>
      <c r="J626" s="109">
        <f t="shared" si="51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3731445.2800000003</v>
      </c>
      <c r="H627" s="104">
        <f>SUM(F468)</f>
        <v>3731445.2800000003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3217.81</v>
      </c>
      <c r="H628" s="104">
        <f>SUM(G468)</f>
        <v>3217.81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36548.710000000006</v>
      </c>
      <c r="H629" s="104">
        <f>SUM(H468)</f>
        <v>36548.710000000006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57129.55</v>
      </c>
      <c r="H631" s="104">
        <f>SUM(J468)</f>
        <v>57129.55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3833837.0599999996</v>
      </c>
      <c r="H632" s="104">
        <f>SUM(F472)</f>
        <v>3833837.0599999996</v>
      </c>
      <c r="I632" s="140" t="s">
        <v>111</v>
      </c>
      <c r="J632" s="109">
        <f t="shared" si="51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36548.710000000006</v>
      </c>
      <c r="H633" s="104">
        <f>SUM(H472)</f>
        <v>36548.710000000006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2429.58</v>
      </c>
      <c r="H634" s="104">
        <f>I369</f>
        <v>2429.58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2945.2599999999998</v>
      </c>
      <c r="H635" s="104">
        <f>SUM(G472)</f>
        <v>2945.2599999999998</v>
      </c>
      <c r="I635" s="140" t="s">
        <v>114</v>
      </c>
      <c r="J635" s="109">
        <f t="shared" si="51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1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57129.55</v>
      </c>
      <c r="H637" s="164">
        <f>SUM(J468)</f>
        <v>57129.55</v>
      </c>
      <c r="I637" s="165" t="s">
        <v>110</v>
      </c>
      <c r="J637" s="151">
        <f t="shared" si="51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1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1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225312.25</v>
      </c>
      <c r="H640" s="104">
        <f>SUM(G461)</f>
        <v>225312.25</v>
      </c>
      <c r="I640" s="140" t="s">
        <v>858</v>
      </c>
      <c r="J640" s="109">
        <f t="shared" si="51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1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225312.25</v>
      </c>
      <c r="H642" s="104">
        <f>SUM(I461)</f>
        <v>225312.25</v>
      </c>
      <c r="I642" s="140" t="s">
        <v>860</v>
      </c>
      <c r="J642" s="109">
        <f t="shared" si="51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1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129.55000000000001</v>
      </c>
      <c r="H644" s="104">
        <f>H408</f>
        <v>129.55000000000001</v>
      </c>
      <c r="I644" s="140" t="s">
        <v>481</v>
      </c>
      <c r="J644" s="109">
        <f t="shared" si="51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57000</v>
      </c>
      <c r="H645" s="104">
        <f>G408</f>
        <v>57000</v>
      </c>
      <c r="I645" s="140" t="s">
        <v>482</v>
      </c>
      <c r="J645" s="109">
        <f t="shared" si="51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57129.55</v>
      </c>
      <c r="H646" s="104">
        <f>L408</f>
        <v>57129.55</v>
      </c>
      <c r="I646" s="140" t="s">
        <v>478</v>
      </c>
      <c r="J646" s="109">
        <f t="shared" si="51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409168.08999999997</v>
      </c>
      <c r="H647" s="104">
        <f>L208+L226+L244</f>
        <v>409168.08999999997</v>
      </c>
      <c r="I647" s="140" t="s">
        <v>397</v>
      </c>
      <c r="J647" s="109">
        <f t="shared" si="51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259157.03</v>
      </c>
      <c r="H648" s="104">
        <f>(J257+J338)-(J255+J336)</f>
        <v>259157.03</v>
      </c>
      <c r="I648" s="140" t="s">
        <v>703</v>
      </c>
      <c r="J648" s="109">
        <f t="shared" si="51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210332.99</v>
      </c>
      <c r="H649" s="104">
        <f>H598</f>
        <v>210332.99000000002</v>
      </c>
      <c r="I649" s="140" t="s">
        <v>389</v>
      </c>
      <c r="J649" s="109">
        <f t="shared" si="51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58775.74</v>
      </c>
      <c r="H650" s="104">
        <f>I598</f>
        <v>58775.74</v>
      </c>
      <c r="I650" s="140" t="s">
        <v>390</v>
      </c>
      <c r="J650" s="109">
        <f t="shared" si="51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140059.35999999999</v>
      </c>
      <c r="H651" s="104">
        <f>J598</f>
        <v>140059.35999999999</v>
      </c>
      <c r="I651" s="140" t="s">
        <v>391</v>
      </c>
      <c r="J651" s="109">
        <f t="shared" si="51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1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1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1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57000</v>
      </c>
      <c r="H655" s="104">
        <f>K266+K347</f>
        <v>57000</v>
      </c>
      <c r="I655" s="140" t="s">
        <v>401</v>
      </c>
      <c r="J655" s="109">
        <f t="shared" si="51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1967303.7399999998</v>
      </c>
      <c r="G660" s="19">
        <f>(L229+L309+L359)</f>
        <v>768392.74</v>
      </c>
      <c r="H660" s="19">
        <f>(L247+L328+L360)</f>
        <v>1080634.5499999998</v>
      </c>
      <c r="I660" s="19">
        <f>SUM(F660:H660)</f>
        <v>3816331.0299999993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141271.96999999997</v>
      </c>
      <c r="G662" s="19">
        <f>(L226+L306)-(J226+J306)</f>
        <v>38756.21</v>
      </c>
      <c r="H662" s="19">
        <f>(L244+L325)-(J244+J325)</f>
        <v>92353.919999999984</v>
      </c>
      <c r="I662" s="19">
        <f>SUM(F662:H662)</f>
        <v>272382.09999999998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193511.77</v>
      </c>
      <c r="G663" s="199">
        <f>SUM(G575:G587)+SUM(I602:I604)+L612</f>
        <v>729636.53</v>
      </c>
      <c r="H663" s="199">
        <f>SUM(H575:H587)+SUM(J602:J604)+L613</f>
        <v>988280.62999999989</v>
      </c>
      <c r="I663" s="19">
        <f>SUM(F663:H663)</f>
        <v>1911428.93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1632519.9999999998</v>
      </c>
      <c r="G664" s="19">
        <f>G660-SUM(G661:G663)</f>
        <v>0</v>
      </c>
      <c r="H664" s="19">
        <f>H660-SUM(H661:H663)</f>
        <v>0</v>
      </c>
      <c r="I664" s="19">
        <f>I660-SUM(I661:I663)</f>
        <v>1632519.9999999995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65.13</v>
      </c>
      <c r="G665" s="248"/>
      <c r="H665" s="248"/>
      <c r="I665" s="19">
        <f>SUM(F665:H665)</f>
        <v>65.13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25065.56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25065.56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25065.56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25065.56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21" sqref="C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Freedom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421816.79000000004</v>
      </c>
      <c r="C9" s="229">
        <f>'DOE25'!G197+'DOE25'!G215+'DOE25'!G233+'DOE25'!G276+'DOE25'!G295+'DOE25'!G314</f>
        <v>163528.85</v>
      </c>
    </row>
    <row r="10" spans="1:3" x14ac:dyDescent="0.2">
      <c r="A10" t="s">
        <v>779</v>
      </c>
      <c r="B10" s="240">
        <v>421816.79</v>
      </c>
      <c r="C10" s="240">
        <v>163528.85</v>
      </c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421816.79</v>
      </c>
      <c r="C13" s="231">
        <f>SUM(C10:C12)</f>
        <v>163528.85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129972.55</v>
      </c>
      <c r="C18" s="229">
        <f>'DOE25'!G198+'DOE25'!G216+'DOE25'!G234+'DOE25'!G277+'DOE25'!G296+'DOE25'!G315</f>
        <v>48492.6</v>
      </c>
    </row>
    <row r="19" spans="1:3" x14ac:dyDescent="0.2">
      <c r="A19" t="s">
        <v>779</v>
      </c>
      <c r="B19" s="240">
        <v>107691.31</v>
      </c>
      <c r="C19" s="240">
        <v>37347.839999999997</v>
      </c>
    </row>
    <row r="20" spans="1:3" x14ac:dyDescent="0.2">
      <c r="A20" t="s">
        <v>780</v>
      </c>
      <c r="B20" s="240">
        <v>22281.24</v>
      </c>
      <c r="C20" s="240">
        <v>11144.76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129972.55</v>
      </c>
      <c r="C22" s="231">
        <f>SUM(C19:C21)</f>
        <v>48492.6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1895.74</v>
      </c>
      <c r="C36" s="235">
        <f>'DOE25'!G200+'DOE25'!G218+'DOE25'!G236+'DOE25'!G279+'DOE25'!G298+'DOE25'!G317</f>
        <v>183.97</v>
      </c>
    </row>
    <row r="37" spans="1:3" x14ac:dyDescent="0.2">
      <c r="A37" t="s">
        <v>779</v>
      </c>
      <c r="B37" s="240">
        <v>306.89</v>
      </c>
      <c r="C37" s="240">
        <v>62.41</v>
      </c>
    </row>
    <row r="38" spans="1:3" x14ac:dyDescent="0.2">
      <c r="A38" t="s">
        <v>780</v>
      </c>
      <c r="B38" s="240">
        <v>1588.85</v>
      </c>
      <c r="C38" s="240">
        <v>121.56</v>
      </c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1895.7399999999998</v>
      </c>
      <c r="C40" s="231">
        <f>SUM(C37:C39)</f>
        <v>183.97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8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Freedom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2513713.44</v>
      </c>
      <c r="D5" s="20">
        <f>SUM('DOE25'!L197:L200)+SUM('DOE25'!L215:L218)+SUM('DOE25'!L233:L236)-F5-G5</f>
        <v>2474893.8699999996</v>
      </c>
      <c r="E5" s="243"/>
      <c r="F5" s="255">
        <f>SUM('DOE25'!J197:J200)+SUM('DOE25'!J215:J218)+SUM('DOE25'!J233:J236)</f>
        <v>38810.449999999997</v>
      </c>
      <c r="G5" s="53">
        <f>SUM('DOE25'!K197:K200)+SUM('DOE25'!K215:K218)+SUM('DOE25'!K233:K236)</f>
        <v>9.1199999999999992</v>
      </c>
      <c r="H5" s="259"/>
    </row>
    <row r="6" spans="1:9" x14ac:dyDescent="0.2">
      <c r="A6" s="32">
        <v>2100</v>
      </c>
      <c r="B6" t="s">
        <v>801</v>
      </c>
      <c r="C6" s="245">
        <f t="shared" si="0"/>
        <v>211549.94</v>
      </c>
      <c r="D6" s="20">
        <f>'DOE25'!L202+'DOE25'!L220+'DOE25'!L238-F6-G6</f>
        <v>210900.02</v>
      </c>
      <c r="E6" s="243"/>
      <c r="F6" s="255">
        <f>'DOE25'!J202+'DOE25'!J220+'DOE25'!J238</f>
        <v>222.92</v>
      </c>
      <c r="G6" s="53">
        <f>'DOE25'!K202+'DOE25'!K220+'DOE25'!K238</f>
        <v>427</v>
      </c>
      <c r="H6" s="259"/>
    </row>
    <row r="7" spans="1:9" x14ac:dyDescent="0.2">
      <c r="A7" s="32">
        <v>2200</v>
      </c>
      <c r="B7" t="s">
        <v>834</v>
      </c>
      <c r="C7" s="245">
        <f t="shared" si="0"/>
        <v>31063.260000000002</v>
      </c>
      <c r="D7" s="20">
        <f>'DOE25'!L203+'DOE25'!L221+'DOE25'!L239-F7-G7</f>
        <v>31063.260000000002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128312.67000000003</v>
      </c>
      <c r="D8" s="243"/>
      <c r="E8" s="20">
        <f>'DOE25'!L204+'DOE25'!L222+'DOE25'!L240-F8-G8-D9-D11</f>
        <v>125501.18000000002</v>
      </c>
      <c r="F8" s="255">
        <f>'DOE25'!J204+'DOE25'!J222+'DOE25'!J240</f>
        <v>2811.49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12959.22</v>
      </c>
      <c r="D9" s="244">
        <v>12959.22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17182.599999999999</v>
      </c>
      <c r="D10" s="243"/>
      <c r="E10" s="244">
        <v>17182.599999999999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50212.56</v>
      </c>
      <c r="D11" s="244">
        <v>50212.56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172511.51</v>
      </c>
      <c r="D12" s="20">
        <f>'DOE25'!L205+'DOE25'!L223+'DOE25'!L241-F12-G12</f>
        <v>162056.01</v>
      </c>
      <c r="E12" s="243"/>
      <c r="F12" s="255">
        <f>'DOE25'!J205+'DOE25'!J223+'DOE25'!J241</f>
        <v>10455.5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247346.37</v>
      </c>
      <c r="D14" s="20">
        <f>'DOE25'!L207+'DOE25'!L225+'DOE25'!L243-F14-G14</f>
        <v>190634.41</v>
      </c>
      <c r="E14" s="243"/>
      <c r="F14" s="255">
        <f>'DOE25'!J207+'DOE25'!J225+'DOE25'!J243</f>
        <v>56711.96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409168.08999999997</v>
      </c>
      <c r="D15" s="20">
        <f>'DOE25'!L208+'DOE25'!L226+'DOE25'!L244-F15-G15</f>
        <v>272174.09999999998</v>
      </c>
      <c r="E15" s="243"/>
      <c r="F15" s="255">
        <f>'DOE25'!J208+'DOE25'!J226+'DOE25'!J244</f>
        <v>136785.99</v>
      </c>
      <c r="G15" s="53">
        <f>'DOE25'!K208+'DOE25'!K226+'DOE25'!K244</f>
        <v>208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656.79</v>
      </c>
      <c r="D29" s="20">
        <f>'DOE25'!L358+'DOE25'!L359+'DOE25'!L360-'DOE25'!I367-F29-G29</f>
        <v>656.79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36548.71</v>
      </c>
      <c r="D31" s="20">
        <f>'DOE25'!L290+'DOE25'!L309+'DOE25'!L328+'DOE25'!L333+'DOE25'!L334+'DOE25'!L335-F31-G31</f>
        <v>21990.790000000005</v>
      </c>
      <c r="E31" s="243"/>
      <c r="F31" s="255">
        <f>'DOE25'!J290+'DOE25'!J309+'DOE25'!J328+'DOE25'!J333+'DOE25'!J334+'DOE25'!J335</f>
        <v>13358.72</v>
      </c>
      <c r="G31" s="53">
        <f>'DOE25'!K290+'DOE25'!K309+'DOE25'!K328+'DOE25'!K333+'DOE25'!K334+'DOE25'!K335</f>
        <v>1199.2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3427541.03</v>
      </c>
      <c r="E33" s="246">
        <f>SUM(E5:E31)</f>
        <v>142683.78000000003</v>
      </c>
      <c r="F33" s="246">
        <f>SUM(F5:F31)</f>
        <v>259157.03</v>
      </c>
      <c r="G33" s="246">
        <f>SUM(G5:G31)</f>
        <v>1843.3200000000002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142683.78000000003</v>
      </c>
      <c r="E35" s="249"/>
    </row>
    <row r="36" spans="2:8" ht="12" thickTop="1" x14ac:dyDescent="0.2">
      <c r="B36" t="s">
        <v>815</v>
      </c>
      <c r="D36" s="20">
        <f>D33</f>
        <v>3427541.03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Freedom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197368.27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225312.25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4257.66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94449.26</v>
      </c>
      <c r="D12" s="95">
        <f>'DOE25'!G13</f>
        <v>607.25</v>
      </c>
      <c r="E12" s="95">
        <f>'DOE25'!H13</f>
        <v>5291.11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296075.19</v>
      </c>
      <c r="D18" s="41">
        <f>SUM(D8:D17)</f>
        <v>607.25</v>
      </c>
      <c r="E18" s="41">
        <f>SUM(E8:E17)</f>
        <v>5291.11</v>
      </c>
      <c r="F18" s="41">
        <f>SUM(F8:F17)</f>
        <v>0</v>
      </c>
      <c r="G18" s="41">
        <f>SUM(G8:G17)</f>
        <v>225312.25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334.7</v>
      </c>
      <c r="E21" s="95">
        <f>'DOE25'!H22</f>
        <v>3922.9599999999991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149946.97</v>
      </c>
      <c r="D23" s="95">
        <f>'DOE25'!G24</f>
        <v>0</v>
      </c>
      <c r="E23" s="95">
        <f>'DOE25'!H24</f>
        <v>1368.15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54638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204584.97</v>
      </c>
      <c r="D31" s="41">
        <f>SUM(D21:D30)</f>
        <v>334.7</v>
      </c>
      <c r="E31" s="41">
        <f>SUM(E21:E30)</f>
        <v>5291.1099999999988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46330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272.55</v>
      </c>
      <c r="E47" s="95">
        <f>'DOE25'!H48</f>
        <v>0</v>
      </c>
      <c r="F47" s="95">
        <f>'DOE25'!I48</f>
        <v>0</v>
      </c>
      <c r="G47" s="95">
        <f>'DOE25'!J48</f>
        <v>225312.25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5221.22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39939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91490.22</v>
      </c>
      <c r="D50" s="41">
        <f>SUM(D34:D49)</f>
        <v>272.55</v>
      </c>
      <c r="E50" s="41">
        <f>SUM(E34:E49)</f>
        <v>0</v>
      </c>
      <c r="F50" s="41">
        <f>SUM(F34:F49)</f>
        <v>0</v>
      </c>
      <c r="G50" s="41">
        <f>SUM(G34:G49)</f>
        <v>225312.25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296075.19</v>
      </c>
      <c r="D51" s="41">
        <f>D50+D31</f>
        <v>607.25</v>
      </c>
      <c r="E51" s="41">
        <f>E50+E31</f>
        <v>5291.1099999999988</v>
      </c>
      <c r="F51" s="41">
        <f>F50+F31</f>
        <v>0</v>
      </c>
      <c r="G51" s="41">
        <f>G50+G31</f>
        <v>225312.25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2378733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89486.39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60371.33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154.88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129.55000000000001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0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10857.97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160870.57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129.55000000000001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2539603.5699999998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129.55000000000001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0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1180021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1180021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1180021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11820.71</v>
      </c>
      <c r="D88" s="95">
        <f>SUM('DOE25'!G153:G161)</f>
        <v>3217.81</v>
      </c>
      <c r="E88" s="95">
        <f>SUM('DOE25'!H153:H161)</f>
        <v>36548.710000000006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11820.71</v>
      </c>
      <c r="D91" s="131">
        <f>SUM(D85:D90)</f>
        <v>3217.81</v>
      </c>
      <c r="E91" s="131">
        <f>SUM(E85:E90)</f>
        <v>36548.710000000006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57000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57000</v>
      </c>
    </row>
    <row r="104" spans="1:7" ht="12.75" thickTop="1" thickBot="1" x14ac:dyDescent="0.25">
      <c r="A104" s="33" t="s">
        <v>765</v>
      </c>
      <c r="C104" s="86">
        <f>C63+C81+C91+C103</f>
        <v>3731445.28</v>
      </c>
      <c r="D104" s="86">
        <f>D63+D81+D91+D103</f>
        <v>3217.81</v>
      </c>
      <c r="E104" s="86">
        <f>E63+E81+E91+E103</f>
        <v>36548.710000000006</v>
      </c>
      <c r="F104" s="86">
        <f>F63+F81+F91+F103</f>
        <v>0</v>
      </c>
      <c r="G104" s="86">
        <f>G63+G81+G103</f>
        <v>57129.55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2269916</v>
      </c>
      <c r="D109" s="24" t="s">
        <v>289</v>
      </c>
      <c r="E109" s="95">
        <f>('DOE25'!L276)+('DOE25'!L295)+('DOE25'!L314)</f>
        <v>30263.000000000004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237313.73</v>
      </c>
      <c r="D110" s="24" t="s">
        <v>289</v>
      </c>
      <c r="E110" s="95">
        <f>('DOE25'!L277)+('DOE25'!L296)+('DOE25'!L315)</f>
        <v>300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6483.71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2513713.44</v>
      </c>
      <c r="D115" s="86">
        <f>SUM(D109:D114)</f>
        <v>0</v>
      </c>
      <c r="E115" s="86">
        <f>SUM(E109:E114)</f>
        <v>30563.000000000004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211549.94</v>
      </c>
      <c r="D118" s="24" t="s">
        <v>289</v>
      </c>
      <c r="E118" s="95">
        <f>+('DOE25'!L281)+('DOE25'!L300)+('DOE25'!L319)</f>
        <v>5985.71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31063.260000000002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191484.45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172511.51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247346.37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409168.08999999997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2945.2599999999998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1263123.6200000001</v>
      </c>
      <c r="D128" s="86">
        <f>SUM(D118:D127)</f>
        <v>2945.2599999999998</v>
      </c>
      <c r="E128" s="86">
        <f>SUM(E118:E127)</f>
        <v>5985.71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27076.04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30053.510000000002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-129.55000000000291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57000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3833837.06</v>
      </c>
      <c r="D145" s="86">
        <f>(D115+D128+D144)</f>
        <v>2945.2599999999998</v>
      </c>
      <c r="E145" s="86">
        <f>(E115+E128+E144)</f>
        <v>36548.710000000006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Freedom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25066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25066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2300179</v>
      </c>
      <c r="D10" s="182">
        <f>ROUND((C10/$C$28)*100,1)</f>
        <v>60.3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237614</v>
      </c>
      <c r="D11" s="182">
        <f>ROUND((C11/$C$28)*100,1)</f>
        <v>6.2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6484</v>
      </c>
      <c r="D13" s="182">
        <f>ROUND((C13/$C$28)*100,1)</f>
        <v>0.2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217536</v>
      </c>
      <c r="D15" s="182">
        <f t="shared" ref="D15:D27" si="0">ROUND((C15/$C$28)*100,1)</f>
        <v>5.7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31063</v>
      </c>
      <c r="D16" s="182">
        <f t="shared" si="0"/>
        <v>0.8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191484</v>
      </c>
      <c r="D17" s="182">
        <f t="shared" si="0"/>
        <v>5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172512</v>
      </c>
      <c r="D18" s="182">
        <f t="shared" si="0"/>
        <v>4.5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247346</v>
      </c>
      <c r="D20" s="182">
        <f t="shared" si="0"/>
        <v>6.5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409168</v>
      </c>
      <c r="D21" s="182">
        <f t="shared" si="0"/>
        <v>10.7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2945</v>
      </c>
      <c r="D27" s="182">
        <f t="shared" si="0"/>
        <v>0.1</v>
      </c>
    </row>
    <row r="28" spans="1:4" x14ac:dyDescent="0.2">
      <c r="B28" s="187" t="s">
        <v>723</v>
      </c>
      <c r="C28" s="180">
        <f>SUM(C10:C27)</f>
        <v>3816331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3816331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2378733</v>
      </c>
      <c r="D35" s="182">
        <f t="shared" ref="D35:D40" si="1">ROUND((C35/$C$41)*100,1)</f>
        <v>63.1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161000.12000000011</v>
      </c>
      <c r="D36" s="182">
        <f t="shared" si="1"/>
        <v>4.3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1180021</v>
      </c>
      <c r="D37" s="182">
        <f t="shared" si="1"/>
        <v>31.3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51587</v>
      </c>
      <c r="D39" s="182">
        <f t="shared" si="1"/>
        <v>1.4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3771341.12</v>
      </c>
      <c r="D41" s="184">
        <f>SUM(D35:D40)</f>
        <v>100.10000000000001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:M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Freedom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>
        <v>1</v>
      </c>
      <c r="B4" s="219">
        <v>32</v>
      </c>
      <c r="C4" s="284" t="s">
        <v>912</v>
      </c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 t="s">
        <v>913</v>
      </c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2014-09-11T20:57:37Z</cp:lastPrinted>
  <dcterms:created xsi:type="dcterms:W3CDTF">1997-12-04T19:04:30Z</dcterms:created>
  <dcterms:modified xsi:type="dcterms:W3CDTF">2014-09-12T18:45:20Z</dcterms:modified>
</cp:coreProperties>
</file>