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C39" i="12"/>
  <c r="B10" i="12" l="1"/>
  <c r="J521" i="1" l="1"/>
  <c r="I521" i="1"/>
  <c r="H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L282" i="1"/>
  <c r="L283" i="1"/>
  <c r="C17" i="10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H461" i="1"/>
  <c r="H641" i="1" s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G643" i="1"/>
  <c r="H643" i="1"/>
  <c r="G644" i="1"/>
  <c r="H645" i="1"/>
  <c r="H647" i="1"/>
  <c r="G650" i="1"/>
  <c r="G651" i="1"/>
  <c r="G652" i="1"/>
  <c r="H652" i="1"/>
  <c r="G653" i="1"/>
  <c r="H653" i="1"/>
  <c r="G654" i="1"/>
  <c r="H654" i="1"/>
  <c r="H655" i="1"/>
  <c r="L256" i="1"/>
  <c r="C26" i="10"/>
  <c r="L328" i="1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C78" i="2"/>
  <c r="G157" i="2"/>
  <c r="F18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J257" i="1"/>
  <c r="J271" i="1" s="1"/>
  <c r="H112" i="1"/>
  <c r="J639" i="1"/>
  <c r="K605" i="1"/>
  <c r="G648" i="1" s="1"/>
  <c r="J571" i="1"/>
  <c r="K571" i="1"/>
  <c r="L433" i="1"/>
  <c r="L419" i="1"/>
  <c r="D81" i="2"/>
  <c r="I169" i="1"/>
  <c r="J643" i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H552" i="1"/>
  <c r="C29" i="10"/>
  <c r="H140" i="1"/>
  <c r="L401" i="1"/>
  <c r="C139" i="2" s="1"/>
  <c r="F22" i="13"/>
  <c r="H25" i="13"/>
  <c r="C25" i="13" s="1"/>
  <c r="J651" i="1"/>
  <c r="H571" i="1"/>
  <c r="L560" i="1"/>
  <c r="F338" i="1"/>
  <c r="F352" i="1" s="1"/>
  <c r="G192" i="1"/>
  <c r="H192" i="1"/>
  <c r="F552" i="1"/>
  <c r="L309" i="1"/>
  <c r="E16" i="13"/>
  <c r="L570" i="1"/>
  <c r="I571" i="1"/>
  <c r="J636" i="1"/>
  <c r="G36" i="2"/>
  <c r="L565" i="1"/>
  <c r="G545" i="1"/>
  <c r="K551" i="1"/>
  <c r="C22" i="13"/>
  <c r="C16" i="13"/>
  <c r="H33" i="13"/>
  <c r="A13" i="12" l="1"/>
  <c r="A40" i="12"/>
  <c r="A31" i="12"/>
  <c r="L393" i="1"/>
  <c r="C138" i="2" s="1"/>
  <c r="J655" i="1"/>
  <c r="J476" i="1"/>
  <c r="H626" i="1" s="1"/>
  <c r="G461" i="1"/>
  <c r="H640" i="1" s="1"/>
  <c r="J640" i="1" s="1"/>
  <c r="G645" i="1"/>
  <c r="J645" i="1" s="1"/>
  <c r="K352" i="1"/>
  <c r="J634" i="1"/>
  <c r="D127" i="2"/>
  <c r="D128" i="2" s="1"/>
  <c r="I545" i="1"/>
  <c r="H545" i="1"/>
  <c r="L544" i="1"/>
  <c r="K549" i="1"/>
  <c r="K552" i="1" s="1"/>
  <c r="L539" i="1"/>
  <c r="J545" i="1"/>
  <c r="G552" i="1"/>
  <c r="L529" i="1"/>
  <c r="G164" i="2"/>
  <c r="K503" i="1"/>
  <c r="G161" i="2"/>
  <c r="K500" i="1"/>
  <c r="G156" i="2"/>
  <c r="J641" i="1"/>
  <c r="I460" i="1"/>
  <c r="I461" i="1" s="1"/>
  <c r="H642" i="1" s="1"/>
  <c r="I446" i="1"/>
  <c r="G642" i="1" s="1"/>
  <c r="L362" i="1"/>
  <c r="C27" i="10" s="1"/>
  <c r="G661" i="1"/>
  <c r="D29" i="13"/>
  <c r="C29" i="13" s="1"/>
  <c r="F661" i="1"/>
  <c r="D145" i="2"/>
  <c r="C18" i="10"/>
  <c r="E120" i="2"/>
  <c r="E128" i="2" s="1"/>
  <c r="C16" i="10"/>
  <c r="E115" i="2"/>
  <c r="L290" i="1"/>
  <c r="L338" i="1" s="1"/>
  <c r="L352" i="1" s="1"/>
  <c r="G633" i="1" s="1"/>
  <c r="J633" i="1" s="1"/>
  <c r="K271" i="1"/>
  <c r="H257" i="1"/>
  <c r="H271" i="1" s="1"/>
  <c r="H660" i="1"/>
  <c r="H664" i="1" s="1"/>
  <c r="H667" i="1" s="1"/>
  <c r="C109" i="2"/>
  <c r="D14" i="13"/>
  <c r="C14" i="13" s="1"/>
  <c r="J647" i="1"/>
  <c r="D15" i="13"/>
  <c r="C15" i="13" s="1"/>
  <c r="G649" i="1"/>
  <c r="J649" i="1" s="1"/>
  <c r="C124" i="2"/>
  <c r="F662" i="1"/>
  <c r="I662" i="1" s="1"/>
  <c r="D12" i="13"/>
  <c r="C12" i="13" s="1"/>
  <c r="C121" i="2"/>
  <c r="E8" i="13"/>
  <c r="C8" i="13" s="1"/>
  <c r="C15" i="10"/>
  <c r="D6" i="13"/>
  <c r="C6" i="13" s="1"/>
  <c r="C115" i="2"/>
  <c r="D5" i="13"/>
  <c r="C5" i="13" s="1"/>
  <c r="L211" i="1"/>
  <c r="C10" i="10"/>
  <c r="J617" i="1"/>
  <c r="C81" i="2"/>
  <c r="F112" i="1"/>
  <c r="C36" i="10" s="1"/>
  <c r="C62" i="2"/>
  <c r="C63" i="2" s="1"/>
  <c r="H52" i="1"/>
  <c r="H619" i="1" s="1"/>
  <c r="J619" i="1" s="1"/>
  <c r="J622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667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E145" i="2" l="1"/>
  <c r="E33" i="13"/>
  <c r="D35" i="13" s="1"/>
  <c r="L408" i="1"/>
  <c r="G637" i="1" s="1"/>
  <c r="J637" i="1" s="1"/>
  <c r="C141" i="2"/>
  <c r="C144" i="2" s="1"/>
  <c r="G104" i="2"/>
  <c r="L545" i="1"/>
  <c r="J642" i="1"/>
  <c r="G635" i="1"/>
  <c r="J635" i="1" s="1"/>
  <c r="I661" i="1"/>
  <c r="D31" i="13"/>
  <c r="C31" i="13" s="1"/>
  <c r="C28" i="10"/>
  <c r="D22" i="10" s="1"/>
  <c r="F660" i="1"/>
  <c r="F664" i="1" s="1"/>
  <c r="F672" i="1" s="1"/>
  <c r="C4" i="10" s="1"/>
  <c r="H672" i="1"/>
  <c r="C6" i="10" s="1"/>
  <c r="C128" i="2"/>
  <c r="L257" i="1"/>
  <c r="L271" i="1" s="1"/>
  <c r="G632" i="1" s="1"/>
  <c r="J632" i="1" s="1"/>
  <c r="F193" i="1"/>
  <c r="G627" i="1" s="1"/>
  <c r="J627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D33" i="13"/>
  <c r="D36" i="13" s="1"/>
  <c r="D17" i="10"/>
  <c r="D12" i="10"/>
  <c r="D27" i="10"/>
  <c r="D24" i="10"/>
  <c r="D18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I660" i="1"/>
  <c r="I664" i="1" s="1"/>
  <c r="I672" i="1" s="1"/>
  <c r="C7" i="10" s="1"/>
  <c r="F667" i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<sst xmlns="http://schemas.openxmlformats.org/spreadsheetml/2006/main" count="3965" uniqueCount="920">
  <si>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</si>
  <si>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</si>
  <si>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</si>
  <si>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</si>
  <si>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</si>
  <si>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</si>
  <si>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</si>
  <si>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</si>
  <si>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</si>
  <si>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</si>
  <si>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</si>
  <si>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</si>
  <si>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</si>
  <si>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</si>
  <si>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</si>
  <si>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</si>
  <si>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</si>
  <si>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</si>
  <si>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</si>
  <si>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</si>
  <si>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</si>
  <si>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</si>
  <si>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</si>
  <si>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</si>
  <si>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</si>
  <si>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</si>
  <si>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</si>
  <si>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</si>
  <si>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</si>
  <si>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</si>
  <si>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</si>
  <si>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</si>
  <si>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</si>
  <si>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</si>
  <si>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</si>
  <si>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</si>
  <si>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</si>
  <si>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</si>
  <si>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</si>
  <si>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</si>
  <si>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</si>
  <si>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</si>
  <si>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</si>
  <si>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</si>
  <si>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</si>
  <si>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</si>
  <si>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</si>
  <si>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</si>
  <si>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</si>
  <si>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</si>
  <si>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</si>
  <si>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</si>
  <si>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</si>
  <si>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</si>
  <si>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</si>
  <si>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</si>
  <si>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</si>
  <si>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</si>
  <si>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</si>
  <si>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</si>
  <si>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</si>
  <si>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</si>
  <si>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</si>
  <si>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</si>
  <si>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</si>
  <si>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</si>
  <si>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</si>
  <si>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</si>
  <si>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</si>
  <si>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</si>
  <si>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</si>
  <si>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</si>
  <si>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</si>
  <si>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</si>
  <si>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</si>
  <si>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</si>
  <si>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</si>
  <si>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</si>
  <si>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</si>
  <si>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</si>
  <si>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</si>
  <si>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</si>
  <si>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</si>
  <si>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</si>
  <si>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</si>
  <si>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</si>
  <si>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</si>
  <si>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</si>
  <si>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</si>
  <si>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</si>
  <si>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</si>
  <si>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</si>
  <si>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</si>
  <si>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</si>
  <si>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</si>
  <si>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</si>
  <si>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</si>
  <si>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</si>
  <si>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</si>
  <si>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</si>
  <si>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</si>
  <si>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</si>
  <si>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</si>
  <si>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</si>
  <si>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</si>
  <si>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</si>
  <si>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</si>
  <si>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</si>
  <si>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</si>
  <si>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</si>
  <si>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</si>
  <si>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</si>
  <si>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</si>
  <si>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</si>
  <si>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</si>
  <si>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</si>
  <si>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</si>
  <si>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</si>
  <si>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</si>
  <si>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</si>
  <si>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</si>
  <si>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</si>
  <si>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</si>
  <si>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</si>
  <si>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</si>
  <si>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</si>
  <si>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</si>
  <si>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</si>
  <si>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</si>
  <si>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</si>
  <si>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</si>
  <si>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</si>
  <si>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</si>
  <si>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</si>
  <si>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</si>
  <si>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</si>
  <si>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</si>
  <si>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</si>
  <si>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</si>
  <si>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</si>
  <si>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</si>
  <si>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</si>
  <si>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</si>
  <si>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</si>
  <si>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</si>
  <si>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</si>
  <si>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</si>
  <si>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</si>
  <si>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</si>
  <si>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</si>
  <si>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</si>
  <si>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</si>
  <si>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</si>
  <si>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</si>
  <si>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</si>
  <si>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</si>
  <si>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</si>
  <si>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</si>
  <si>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</si>
  <si>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</si>
  <si>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</si>
  <si>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</si>
  <si>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</si>
  <si>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</si>
  <si>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</si>
  <si>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</si>
  <si>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</si>
  <si>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</si>
  <si>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</si>
  <si>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</si>
  <si>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</si>
  <si>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</si>
  <si>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</si>
  <si>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</si>
  <si>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</si>
  <si>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</si>
  <si>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</si>
  <si>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</si>
  <si>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</si>
  <si>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</si>
  <si>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</si>
  <si>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</si>
  <si>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</si>
  <si>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</si>
  <si>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</si>
  <si>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</si>
  <si>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</si>
  <si>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</si>
  <si>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</si>
  <si>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</si>
  <si>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</si>
  <si>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</si>
  <si>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</si>
  <si>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</si>
  <si>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</si>
  <si>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</si>
  <si>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</si>
  <si>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</si>
  <si>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</si>
  <si>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</si>
  <si>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</si>
  <si>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</si>
  <si>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</si>
  <si>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</si>
  <si>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</si>
  <si>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</si>
  <si>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</si>
  <si>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</si>
  <si>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</si>
  <si>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</si>
  <si>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</si>
  <si>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</si>
  <si>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</si>
  <si>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</si>
  <si>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</si>
  <si>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</si>
  <si>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</si>
  <si>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</si>
  <si>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</si>
  <si>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</si>
  <si>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</si>
  <si>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</si>
  <si>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</si>
  <si>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</si>
  <si>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</si>
  <si>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</si>
  <si>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</si>
  <si>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</si>
  <si>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</si>
  <si>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</si>
  <si>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</si>
  <si>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</si>
  <si>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</si>
  <si>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</si>
  <si>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</si>
  <si>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</si>
  <si>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</si>
  <si>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</si>
  <si>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</si>
  <si>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</si>
  <si>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</si>
  <si>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</si>
  <si>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</si>
  <si>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</si>
  <si>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</si>
  <si>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</si>
  <si>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</si>
  <si>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</si>
  <si>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</si>
  <si>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</si>
  <si>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</si>
  <si>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</si>
  <si>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</si>
  <si>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</si>
  <si>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</si>
  <si>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</si>
  <si>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</si>
  <si>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</si>
  <si>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</si>
  <si>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</si>
  <si>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</si>
  <si>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</si>
  <si>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</si>
  <si>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</si>
  <si>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</si>
  <si>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</si>
  <si>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</si>
  <si>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</si>
  <si>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</si>
  <si>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</si>
  <si>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</si>
  <si>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</si>
  <si>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</si>
  <si>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</si>
  <si>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</si>
  <si>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</si>
  <si>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</si>
  <si>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</si>
  <si>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</si>
  <si>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</si>
  <si>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</si>
  <si>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</si>
  <si>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</si>
  <si>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</si>
  <si>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</si>
  <si>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</si>
  <si>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</si>
  <si>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</si>
  <si>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</si>
  <si>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</si>
  <si>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</si>
  <si>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</si>
  <si>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</si>
  <si>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</si>
  <si>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</si>
  <si>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</si>
  <si>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</si>
  <si>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</si>
  <si>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</si>
  <si>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</si>
  <si>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</si>
  <si>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</si>
  <si>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</si>
  <si>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</si>
  <si>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</si>
  <si>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</si>
  <si>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</si>
  <si>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</si>
  <si>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</si>
  <si>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</si>
  <si>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</si>
  <si>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</si>
  <si>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</si>
  <si>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</si>
  <si>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</si>
  <si>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</si>
  <si>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</si>
  <si>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</si>
  <si>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</si>
  <si>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</si>
  <si>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</si>
  <si>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</si>
  <si>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</si>
  <si>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</si>
  <si>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</si>
  <si>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</si>
  <si>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</si>
  <si>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</si>
  <si>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</si>
  <si>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</si>
  <si>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</si>
  <si>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</si>
  <si>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</si>
  <si>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</si>
  <si>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</si>
  <si>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</si>
  <si>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</si>
  <si>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</si>
  <si>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</si>
  <si>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</si>
  <si>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</si>
  <si>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</si>
  <si>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</si>
  <si>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</si>
  <si>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</si>
  <si>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</si>
  <si>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</si>
  <si>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</si>
  <si>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</si>
  <si>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</si>
  <si>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</si>
  <si>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</si>
  <si>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</si>
  <si>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</si>
  <si>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</si>
  <si>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</si>
  <si>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</si>
  <si>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</si>
  <si>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</si>
  <si>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</si>
  <si>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</si>
  <si>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</si>
  <si>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</si>
  <si>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</si>
  <si>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</si>
  <si>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</si>
  <si>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</si>
  <si>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</si>
  <si>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</si>
  <si>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</si>
  <si>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</si>
  <si>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</si>
  <si>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</si>
  <si>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</si>
  <si>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</si>
  <si>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</si>
  <si>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</si>
  <si>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</si>
  <si>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</si>
  <si>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</si>
  <si>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</si>
  <si>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</si>
  <si>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</si>
  <si>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</si>
  <si>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</si>
  <si>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</si>
  <si>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</si>
  <si>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</si>
  <si>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</si>
  <si>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</si>
  <si>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</si>
  <si>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</si>
  <si>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</si>
  <si>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</si>
  <si>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</si>
  <si>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</si>
  <si>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</si>
  <si>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</si>
  <si>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</si>
  <si>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</si>
  <si>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</si>
  <si>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</si>
  <si>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</si>
  <si>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</si>
  <si>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</si>
  <si>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</si>
  <si>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</si>
  <si>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</si>
  <si>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</si>
  <si>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</si>
  <si>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</si>
  <si>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</si>
  <si>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</si>
  <si>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</si>
  <si>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</si>
  <si>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</si>
  <si>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</si>
  <si>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</si>
  <si>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</si>
  <si>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</si>
  <si>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</si>
  <si>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</si>
  <si>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</si>
  <si>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</si>
  <si>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</si>
  <si>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</si>
  <si>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</si>
  <si>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</si>
  <si>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</si>
  <si>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</si>
  <si>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</si>
  <si>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</si>
  <si>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</si>
  <si>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</si>
  <si>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</si>
  <si>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</si>
  <si>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</si>
  <si>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</si>
  <si>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</si>
  <si>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</si>
  <si>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</si>
  <si>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</si>
  <si>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</si>
  <si>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</si>
  <si>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</si>
  <si>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</si>
  <si>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</si>
  <si>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</si>
  <si>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</si>
  <si>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</si>
  <si>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</si>
  <si>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</si>
  <si>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</si>
  <si>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</si>
  <si>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</si>
  <si>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</si>
  <si>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</si>
  <si>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</si>
  <si>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</si>
  <si>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</si>
  <si>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</si>
  <si>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</si>
  <si>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</si>
  <si>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</si>
  <si>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</si>
  <si>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</si>
  <si>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</si>
  <si>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</si>
  <si>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</si>
  <si>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</si>
  <si>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</si>
  <si>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</si>
  <si>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</si>
  <si>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</si>
  <si>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</si>
  <si>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</si>
  <si>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</si>
  <si>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</si>
  <si>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</si>
  <si>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</si>
  <si>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</si>
  <si>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</si>
  <si>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</si>
  <si>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</si>
  <si>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</si>
  <si>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</si>
  <si>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</si>
  <si>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</si>
  <si>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</si>
  <si>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</si>
  <si>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</si>
  <si>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</si>
  <si>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</si>
  <si>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</si>
  <si>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</si>
  <si>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</si>
  <si>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</si>
  <si>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</si>
  <si>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</si>
  <si>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</si>
  <si>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</si>
  <si>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</si>
  <si>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</si>
  <si>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</si>
  <si>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</si>
  <si>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</si>
  <si>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</si>
  <si>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</si>
  <si>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</si>
  <si>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</si>
  <si>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</si>
  <si>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</si>
  <si>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</si>
  <si>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</si>
  <si>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</si>
  <si>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</si>
  <si>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</si>
  <si>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</si>
  <si>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</si>
  <si>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</si>
  <si>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</si>
  <si>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</si>
  <si>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</si>
  <si>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</si>
  <si>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</si>
  <si>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</si>
  <si>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</si>
  <si>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</si>
  <si>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</si>
  <si>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</si>
  <si>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</si>
  <si>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</si>
  <si>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</si>
  <si>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</si>
  <si>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</si>
  <si>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</si>
  <si>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</si>
  <si>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</si>
  <si>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</si>
  <si>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</si>
  <si>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</si>
  <si>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</si>
  <si>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</si>
  <si>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</si>
  <si>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</si>
  <si>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</si>
  <si>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</si>
  <si>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</si>
  <si>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</si>
  <si>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</si>
  <si>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</si>
  <si>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</si>
  <si>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</si>
  <si>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</si>
  <si>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</si>
  <si>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</si>
  <si>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</si>
  <si>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</si>
  <si>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</si>
  <si>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</si>
  <si>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</si>
  <si>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</si>
  <si>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</si>
  <si>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</si>
  <si>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</si>
  <si>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</si>
  <si>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</si>
  <si>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</si>
  <si>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</si>
  <si>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</si>
  <si>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</si>
  <si>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</si>
  <si>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</si>
  <si>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</si>
  <si>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</si>
  <si>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</si>
  <si>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</si>
  <si>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</si>
  <si>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</si>
  <si>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</si>
  <si>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</si>
  <si>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</si>
  <si>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</si>
  <si>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</si>
  <si>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</si>
  <si>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</si>
  <si>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</si>
  <si>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</si>
  <si>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</si>
  <si>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</si>
  <si>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</si>
  <si>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</si>
  <si>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</si>
  <si>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</si>
  <si>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</si>
  <si>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</si>
  <si>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</si>
  <si>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</si>
  <si>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</si>
  <si>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</si>
  <si>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</si>
  <si>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</si>
  <si>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</si>
  <si>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</si>
  <si>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</si>
  <si>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</si>
  <si>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</si>
  <si>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</si>
  <si>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</si>
  <si>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</si>
  <si>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</si>
  <si>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</si>
  <si>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</si>
  <si>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</si>
  <si>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</si>
  <si>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</si>
  <si>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</si>
  <si>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</si>
  <si>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</si>
  <si>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</si>
  <si>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</si>
  <si>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</si>
  <si>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</si>
  <si>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</si>
  <si>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</si>
  <si>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</si>
  <si>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</si>
  <si>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</si>
  <si>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</si>
  <si>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</si>
  <si>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</si>
  <si>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</si>
  <si>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</si>
  <si>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</si>
  <si>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</si>
  <si>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</si>
  <si>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</si>
  <si>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</si>
  <si>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</si>
  <si>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</si>
  <si>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</si>
  <si>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</si>
  <si>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</si>
  <si>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</si>
  <si>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</si>
  <si>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</si>
  <si>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</si>
  <si>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</si>
  <si>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</si>
  <si>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</si>
  <si>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</si>
  <si>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</si>
  <si>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</si>
  <si>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</si>
  <si>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</si>
  <si>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</si>
  <si>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</si>
  <si>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</si>
  <si>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</si>
  <si>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</si>
  <si>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</si>
  <si>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</si>
  <si>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</si>
  <si>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</si>
  <si>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</si>
  <si>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</si>
  <si>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</si>
  <si>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</si>
  <si>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</si>
  <si>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</si>
  <si>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</si>
  <si>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</si>
  <si>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</si>
  <si>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</si>
  <si>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</si>
  <si>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</si>
  <si>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</si>
  <si>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</si>
  <si>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</si>
  <si>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</si>
  <si>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</si>
  <si>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</si>
  <si>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</si>
  <si>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</si>
  <si>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</si>
  <si>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</si>
  <si>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</si>
  <si>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</si>
  <si>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</si>
  <si>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</si>
  <si>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</si>
  <si>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</si>
  <si>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</si>
  <si>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</si>
  <si>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</si>
  <si>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</si>
  <si>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</si>
  <si>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</si>
  <si>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</si>
  <si>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</si>
  <si>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</si>
  <si>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</si>
  <si>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</si>
  <si>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</si>
  <si>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</si>
  <si>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</si>
  <si>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</si>
  <si>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</si>
  <si>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</si>
  <si>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</si>
  <si>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</si>
  <si>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</si>
  <si>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</si>
  <si>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</si>
  <si>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</si>
  <si>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</si>
  <si>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</si>
  <si>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</si>
  <si>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</si>
  <si>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</si>
  <si>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</si>
  <si>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</si>
  <si>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</si>
  <si>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</si>
  <si>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</si>
  <si>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</si>
  <si>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</si>
  <si>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</si>
  <si>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</si>
  <si>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</si>
  <si>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</si>
  <si>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</si>
  <si>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</si>
  <si>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</si>
  <si>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</si>
  <si>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</si>
  <si>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</si>
  <si>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</si>
  <si>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</si>
  <si>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</si>
  <si>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</si>
  <si>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</si>
  <si>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</si>
  <si>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</si>
  <si>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</si>
  <si>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</si>
  <si>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</si>
  <si>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</si>
  <si>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</si>
  <si>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</si>
  <si>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</si>
  <si>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</si>
  <si>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</si>
  <si>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</si>
  <si>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</si>
  <si>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</si>
  <si>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</si>
  <si>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</si>
  <si>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</si>
  <si>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</si>
  <si>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</si>
  <si>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</si>
  <si>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</si>
  <si>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</si>
  <si>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</si>
  <si>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</si>
  <si>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</si>
  <si>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</si>
  <si>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</si>
  <si>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</si>
  <si>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</si>
  <si>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</si>
  <si>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</si>
  <si>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</si>
  <si>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</si>
  <si>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</si>
  <si>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</si>
  <si>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</si>
  <si>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</si>
  <si>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</si>
  <si>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</si>
  <si>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</si>
  <si>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</si>
  <si>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</si>
  <si>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</si>
  <si>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</si>
  <si>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</si>
  <si>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</si>
  <si>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</si>
  <si>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</si>
  <si>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</si>
  <si>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</si>
  <si>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</si>
  <si>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</si>
  <si>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</si>
  <si>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</si>
  <si>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</si>
  <si>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</si>
  <si>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</si>
  <si>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</si>
  <si>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</si>
  <si>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</si>
  <si>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</si>
  <si>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</si>
  <si>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</si>
  <si>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</si>
  <si>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</si>
  <si>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</si>
  <si>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</si>
  <si>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</si>
  <si>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</si>
  <si>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</si>
  <si>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</si>
  <si>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</si>
  <si>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</si>
  <si>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</si>
  <si>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</si>
  <si>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</si>
  <si>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</si>
  <si>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</si>
  <si>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</si>
  <si>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</si>
  <si>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</si>
  <si>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</si>
  <si>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</si>
  <si>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</si>
  <si>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</si>
  <si>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</si>
  <si>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</si>
  <si>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</si>
  <si>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</si>
  <si>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</si>
  <si>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</si>
  <si>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</si>
  <si>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</si>
  <si>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</si>
  <si>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</si>
  <si>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</si>
  <si>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</si>
  <si>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</si>
  <si>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</si>
  <si>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</si>
  <si>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</si>
  <si>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</si>
  <si>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</si>
  <si>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</si>
  <si>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</si>
  <si>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</si>
  <si>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</si>
  <si>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</si>
  <si>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</si>
  <si>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</si>
  <si>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</si>
  <si>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</si>
  <si>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</si>
  <si>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</si>
  <si>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</si>
  <si>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</si>
  <si>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</si>
  <si>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</si>
  <si>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</si>
  <si>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</si>
  <si>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</si>
  <si>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</si>
  <si>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</si>
  <si>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</si>
  <si>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</si>
  <si>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</si>
  <si>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</si>
  <si>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</si>
  <si>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</si>
  <si>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</si>
  <si>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</si>
  <si>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</si>
  <si>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</si>
  <si>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</si>
  <si>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</si>
  <si>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</si>
  <si>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</si>
  <si>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</si>
  <si>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</si>
  <si>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</si>
  <si>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</si>
  <si>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</si>
  <si>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</si>
  <si>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</si>
  <si>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</si>
  <si>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</si>
  <si>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</si>
  <si>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</si>
  <si>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</si>
  <si>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</si>
  <si>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</si>
  <si>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</si>
  <si>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</si>
  <si>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</si>
  <si>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</si>
  <si>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</si>
  <si>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</si>
  <si>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</si>
  <si>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</si>
  <si>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</si>
  <si>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</si>
  <si>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</si>
  <si>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</si>
  <si>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</si>
  <si>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</si>
  <si>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</si>
  <si>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</si>
  <si>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</si>
  <si>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</si>
  <si>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08/03</t>
  </si>
  <si>
    <t>08/13</t>
  </si>
  <si>
    <t>08/04</t>
  </si>
  <si>
    <t>08/14</t>
  </si>
  <si>
    <t>04/13</t>
  </si>
  <si>
    <t>08/17</t>
  </si>
  <si>
    <t>$113,259.84</t>
  </si>
  <si>
    <t>Other Revenue = $101,227.34 "Contribution Holiday" from Healthtrust, $12,000 Impact Fees, $32.50 other =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</si>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</sst>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189</v>
      </c>
      <c r="C2" s="21">
        <v>189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273883.03999999998</v>
      </c>
      <c r="G9" s="18">
        <v>21421.66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279118.74</v>
      </c>
      <c r="G10" s="18"/>
      <c r="H10" s="18"/>
      <c r="I10" s="18"/>
      <c r="J10" s="67">
        <f>SUM(I440)</f>
        <v>33425.25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64698.73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57988.639999999999</v>
      </c>
      <c r="G13" s="18">
        <v>2746.39</v>
      </c>
      <c r="H13" s="18">
        <v>31483.15</v>
      </c>
      <c r="I13" s="18"/>
      <c r="J13" s="67">
        <f>SUM(I442)</f>
        <v>10000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2747.77</v>
      </c>
      <c r="G14" s="18">
        <v>20050.52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1345.72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678436.92</v>
      </c>
      <c r="G19" s="41">
        <f>SUM(G9:G18)</f>
        <v>45564.29</v>
      </c>
      <c r="H19" s="41">
        <f>SUM(H9:H18)</f>
        <v>31483.15</v>
      </c>
      <c r="I19" s="41">
        <f>SUM(I9:I18)</f>
        <v>0</v>
      </c>
      <c r="J19" s="41">
        <f>SUM(J9:J18)</f>
        <v>43425.25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39897.58</v>
      </c>
      <c r="H22" s="18">
        <v>24801.15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10000</v>
      </c>
      <c r="G23" s="18"/>
      <c r="H23" s="18"/>
      <c r="I23" s="18"/>
      <c r="J23" s="67">
        <f>SUM(I449)</f>
        <v>3089.7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19436.25</v>
      </c>
      <c r="G24" s="18"/>
      <c r="H24" s="18">
        <v>6682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1253.6099999999999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35682.660000000003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3248.1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134564.22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200936.74</v>
      </c>
      <c r="G32" s="41">
        <f>SUM(G22:G31)</f>
        <v>43145.68</v>
      </c>
      <c r="H32" s="41">
        <f>SUM(H22:H31)</f>
        <v>31483.15</v>
      </c>
      <c r="I32" s="41">
        <f>SUM(I22:I31)</f>
        <v>0</v>
      </c>
      <c r="J32" s="41">
        <f>SUM(J22:J31)</f>
        <v>3089.7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1345.72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 t="s">
        <v>287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1072.8900000000001</v>
      </c>
      <c r="H48" s="18"/>
      <c r="I48" s="18"/>
      <c r="J48" s="13">
        <f>SUM(I459)</f>
        <v>40335.550000000003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 t="s">
        <v>287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467500.18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477500.18</v>
      </c>
      <c r="G51" s="41">
        <f>SUM(G35:G50)</f>
        <v>2418.61</v>
      </c>
      <c r="H51" s="41">
        <f>SUM(H35:H50)</f>
        <v>0</v>
      </c>
      <c r="I51" s="41">
        <f>SUM(I35:I50)</f>
        <v>0</v>
      </c>
      <c r="J51" s="41">
        <f>SUM(J35:J50)</f>
        <v>40335.550000000003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678436.91999999993</v>
      </c>
      <c r="G52" s="41">
        <f>G51+G32</f>
        <v>45564.29</v>
      </c>
      <c r="H52" s="41">
        <f>H51+H32</f>
        <v>31483.15</v>
      </c>
      <c r="I52" s="41">
        <f>I51+I32</f>
        <v>0</v>
      </c>
      <c r="J52" s="41">
        <f>J51+J32</f>
        <v>43425.25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7946081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7946081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15417.48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15417.48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125.88</v>
      </c>
      <c r="G96" s="18"/>
      <c r="H96" s="18"/>
      <c r="I96" s="18"/>
      <c r="J96" s="18">
        <v>11.31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95468.95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113259.84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113385.72</v>
      </c>
      <c r="G111" s="41">
        <f>SUM(G96:G110)</f>
        <v>95468.95</v>
      </c>
      <c r="H111" s="41">
        <f>SUM(H96:H110)</f>
        <v>0</v>
      </c>
      <c r="I111" s="41">
        <f>SUM(I96:I110)</f>
        <v>0</v>
      </c>
      <c r="J111" s="41">
        <f>SUM(J96:J110)</f>
        <v>11.31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8074884.2000000002</v>
      </c>
      <c r="G112" s="41">
        <f>G60+G111</f>
        <v>95468.95</v>
      </c>
      <c r="H112" s="41">
        <f>H60+H79+H94+H111</f>
        <v>0</v>
      </c>
      <c r="I112" s="41">
        <f>I60+I111</f>
        <v>0</v>
      </c>
      <c r="J112" s="41">
        <f>J60+J111</f>
        <v>11.31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1729298.46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874301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12435.2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2616034.66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88019.46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45654.26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2252.5700000000002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9716.98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133673.72</v>
      </c>
      <c r="G136" s="41">
        <f>SUM(G123:G135)</f>
        <v>11969.55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2749708.3800000004</v>
      </c>
      <c r="G140" s="41">
        <f>G121+SUM(G136:G137)</f>
        <v>11969.55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42157.39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63142.69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9973.01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41066.9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75298.87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70361.86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70361.86</v>
      </c>
      <c r="G162" s="41">
        <f>SUM(G150:G161)</f>
        <v>41066.9</v>
      </c>
      <c r="H162" s="41">
        <f>SUM(H150:H161)</f>
        <v>190571.96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70361.86</v>
      </c>
      <c r="G169" s="41">
        <f>G147+G162+SUM(G163:G168)</f>
        <v>41066.9</v>
      </c>
      <c r="H169" s="41">
        <f>H147+H162+SUM(H163:H168)</f>
        <v>190571.96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3089.7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3089.7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3089.7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10898044.139999999</v>
      </c>
      <c r="G193" s="47">
        <f>G112+G140+G169+G192</f>
        <v>148505.4</v>
      </c>
      <c r="H193" s="47">
        <f>H112+H140+H169+H192</f>
        <v>190571.96</v>
      </c>
      <c r="I193" s="47">
        <f>I112+I140+I169+I192</f>
        <v>0</v>
      </c>
      <c r="J193" s="47">
        <f>J112+J140+J192</f>
        <v>10011.31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1656781.27</v>
      </c>
      <c r="G197" s="18">
        <v>828262.25</v>
      </c>
      <c r="H197" s="18"/>
      <c r="I197" s="18">
        <v>72826.009999999995</v>
      </c>
      <c r="J197" s="18">
        <v>70431.47</v>
      </c>
      <c r="K197" s="18">
        <v>271</v>
      </c>
      <c r="L197" s="19">
        <f>SUM(F197:K197)</f>
        <v>2628572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589288.14</v>
      </c>
      <c r="G198" s="18">
        <v>165714.59</v>
      </c>
      <c r="H198" s="18">
        <v>163953.81</v>
      </c>
      <c r="I198" s="18">
        <v>7671.03</v>
      </c>
      <c r="J198" s="18">
        <v>3852.75</v>
      </c>
      <c r="K198" s="18"/>
      <c r="L198" s="19">
        <f>SUM(F198:K198)</f>
        <v>930480.32000000007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34050</v>
      </c>
      <c r="G200" s="18">
        <v>5421.63</v>
      </c>
      <c r="H200" s="18">
        <v>2740</v>
      </c>
      <c r="I200" s="18">
        <v>6312.29</v>
      </c>
      <c r="J200" s="18">
        <v>1000</v>
      </c>
      <c r="K200" s="18">
        <v>345</v>
      </c>
      <c r="L200" s="19">
        <f>SUM(F200:K200)</f>
        <v>49868.92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396609.52</v>
      </c>
      <c r="G202" s="18">
        <v>181138.28</v>
      </c>
      <c r="H202" s="18">
        <v>13605.51</v>
      </c>
      <c r="I202" s="18">
        <v>11479.04</v>
      </c>
      <c r="J202" s="18">
        <v>1601.19</v>
      </c>
      <c r="K202" s="18">
        <v>310</v>
      </c>
      <c r="L202" s="19">
        <f t="shared" ref="L202:L208" si="0">SUM(F202:K202)</f>
        <v>604743.54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89830.6</v>
      </c>
      <c r="G203" s="18">
        <v>66481.210000000006</v>
      </c>
      <c r="H203" s="18">
        <v>3404.14</v>
      </c>
      <c r="I203" s="18">
        <v>16992.310000000001</v>
      </c>
      <c r="J203" s="18">
        <v>37708.75</v>
      </c>
      <c r="K203" s="18"/>
      <c r="L203" s="19">
        <f t="shared" si="0"/>
        <v>214417.01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419131.44</v>
      </c>
      <c r="G204" s="18">
        <v>156827.60999999999</v>
      </c>
      <c r="H204" s="18">
        <v>116697.69</v>
      </c>
      <c r="I204" s="18">
        <v>12100.53</v>
      </c>
      <c r="J204" s="18">
        <v>148.55000000000001</v>
      </c>
      <c r="K204" s="18">
        <v>28404.73</v>
      </c>
      <c r="L204" s="19">
        <f t="shared" si="0"/>
        <v>733310.55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218616.95999999999</v>
      </c>
      <c r="G205" s="18">
        <v>84300.55</v>
      </c>
      <c r="H205" s="18">
        <v>43636.14</v>
      </c>
      <c r="I205" s="18">
        <v>14400.54</v>
      </c>
      <c r="J205" s="18">
        <v>8458.19</v>
      </c>
      <c r="K205" s="18">
        <v>3231.55</v>
      </c>
      <c r="L205" s="19">
        <f t="shared" si="0"/>
        <v>372643.93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123451</v>
      </c>
      <c r="G207" s="18">
        <v>60700.6</v>
      </c>
      <c r="H207" s="18">
        <v>80106.58</v>
      </c>
      <c r="I207" s="18">
        <v>119056.55</v>
      </c>
      <c r="J207" s="18">
        <v>6862.46</v>
      </c>
      <c r="K207" s="18"/>
      <c r="L207" s="19">
        <f t="shared" si="0"/>
        <v>390177.19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437633.15</v>
      </c>
      <c r="I208" s="18"/>
      <c r="J208" s="18"/>
      <c r="K208" s="18"/>
      <c r="L208" s="19">
        <f t="shared" si="0"/>
        <v>437633.15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3527758.93</v>
      </c>
      <c r="G211" s="41">
        <f t="shared" si="1"/>
        <v>1548846.72</v>
      </c>
      <c r="H211" s="41">
        <f t="shared" si="1"/>
        <v>861777.02</v>
      </c>
      <c r="I211" s="41">
        <f t="shared" si="1"/>
        <v>260838.3</v>
      </c>
      <c r="J211" s="41">
        <f t="shared" si="1"/>
        <v>130063.36000000002</v>
      </c>
      <c r="K211" s="41">
        <f t="shared" si="1"/>
        <v>32562.28</v>
      </c>
      <c r="L211" s="41">
        <f t="shared" si="1"/>
        <v>6361846.6100000003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3540714.04</v>
      </c>
      <c r="I233" s="18"/>
      <c r="J233" s="18"/>
      <c r="K233" s="18"/>
      <c r="L233" s="19">
        <f>SUM(F233:K233)</f>
        <v>3540714.04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409684.44</v>
      </c>
      <c r="I234" s="18"/>
      <c r="J234" s="18"/>
      <c r="K234" s="18"/>
      <c r="L234" s="19">
        <f>SUM(F234:K234)</f>
        <v>409684.44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1550</v>
      </c>
      <c r="I238" s="18"/>
      <c r="J238" s="18"/>
      <c r="K238" s="18"/>
      <c r="L238" s="19">
        <f t="shared" ref="L238:L244" si="4">SUM(F238:K238)</f>
        <v>1550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177061</v>
      </c>
      <c r="I244" s="18"/>
      <c r="J244" s="18"/>
      <c r="K244" s="18"/>
      <c r="L244" s="19">
        <f t="shared" si="4"/>
        <v>177061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4129009.48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4129009.48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3527758.93</v>
      </c>
      <c r="G257" s="41">
        <f t="shared" si="8"/>
        <v>1548846.72</v>
      </c>
      <c r="H257" s="41">
        <f t="shared" si="8"/>
        <v>4990786.5</v>
      </c>
      <c r="I257" s="41">
        <f t="shared" si="8"/>
        <v>260838.3</v>
      </c>
      <c r="J257" s="41">
        <f t="shared" si="8"/>
        <v>130063.36000000002</v>
      </c>
      <c r="K257" s="41">
        <f t="shared" si="8"/>
        <v>32562.28</v>
      </c>
      <c r="L257" s="41">
        <f t="shared" si="8"/>
        <v>10490856.09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265000</v>
      </c>
      <c r="L260" s="19">
        <f>SUM(F260:K260)</f>
        <v>265000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17625</v>
      </c>
      <c r="L261" s="19">
        <f>SUM(F261:K261)</f>
        <v>17625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292625</v>
      </c>
      <c r="L270" s="41">
        <f t="shared" si="9"/>
        <v>292625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3527758.93</v>
      </c>
      <c r="G271" s="42">
        <f t="shared" si="11"/>
        <v>1548846.72</v>
      </c>
      <c r="H271" s="42">
        <f t="shared" si="11"/>
        <v>4990786.5</v>
      </c>
      <c r="I271" s="42">
        <f t="shared" si="11"/>
        <v>260838.3</v>
      </c>
      <c r="J271" s="42">
        <f t="shared" si="11"/>
        <v>130063.36000000002</v>
      </c>
      <c r="K271" s="42">
        <f t="shared" si="11"/>
        <v>325187.28000000003</v>
      </c>
      <c r="L271" s="42">
        <f t="shared" si="11"/>
        <v>10783481.09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40250.76</v>
      </c>
      <c r="G276" s="18">
        <v>100.72</v>
      </c>
      <c r="H276" s="18">
        <v>864.5</v>
      </c>
      <c r="I276" s="18">
        <v>998.9</v>
      </c>
      <c r="J276" s="18">
        <v>0</v>
      </c>
      <c r="K276" s="18">
        <v>50</v>
      </c>
      <c r="L276" s="19">
        <f>SUM(F276:K276)</f>
        <v>42264.880000000005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60527.06</v>
      </c>
      <c r="I277" s="18">
        <v>8644.75</v>
      </c>
      <c r="J277" s="18">
        <v>6127.06</v>
      </c>
      <c r="K277" s="18"/>
      <c r="L277" s="19">
        <f>SUM(F277:K277)</f>
        <v>75298.87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9715</v>
      </c>
      <c r="G282" s="18">
        <v>6782.22</v>
      </c>
      <c r="H282" s="18">
        <v>8762.42</v>
      </c>
      <c r="I282" s="18">
        <v>240.01</v>
      </c>
      <c r="J282" s="18">
        <v>34033.83</v>
      </c>
      <c r="K282" s="18"/>
      <c r="L282" s="19">
        <f t="shared" si="12"/>
        <v>59533.479999999996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1601.17</v>
      </c>
      <c r="G283" s="18"/>
      <c r="H283" s="18">
        <v>7993.56</v>
      </c>
      <c r="I283" s="18"/>
      <c r="J283" s="18"/>
      <c r="K283" s="18"/>
      <c r="L283" s="19">
        <f t="shared" si="12"/>
        <v>9594.73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1500</v>
      </c>
      <c r="I284" s="18"/>
      <c r="J284" s="18">
        <v>2380</v>
      </c>
      <c r="K284" s="18"/>
      <c r="L284" s="19">
        <f t="shared" si="12"/>
        <v>3880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51566.93</v>
      </c>
      <c r="G290" s="42">
        <f t="shared" si="13"/>
        <v>6882.9400000000005</v>
      </c>
      <c r="H290" s="42">
        <f t="shared" si="13"/>
        <v>79647.539999999994</v>
      </c>
      <c r="I290" s="42">
        <f t="shared" si="13"/>
        <v>9883.66</v>
      </c>
      <c r="J290" s="42">
        <f t="shared" si="13"/>
        <v>42540.89</v>
      </c>
      <c r="K290" s="42">
        <f t="shared" si="13"/>
        <v>50</v>
      </c>
      <c r="L290" s="41">
        <f t="shared" si="13"/>
        <v>190571.96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51566.93</v>
      </c>
      <c r="G338" s="41">
        <f t="shared" si="20"/>
        <v>6882.9400000000005</v>
      </c>
      <c r="H338" s="41">
        <f t="shared" si="20"/>
        <v>79647.539999999994</v>
      </c>
      <c r="I338" s="41">
        <f t="shared" si="20"/>
        <v>9883.66</v>
      </c>
      <c r="J338" s="41">
        <f t="shared" si="20"/>
        <v>42540.89</v>
      </c>
      <c r="K338" s="41">
        <f t="shared" si="20"/>
        <v>50</v>
      </c>
      <c r="L338" s="41">
        <f t="shared" si="20"/>
        <v>190571.96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51566.93</v>
      </c>
      <c r="G352" s="41">
        <f>G338</f>
        <v>6882.9400000000005</v>
      </c>
      <c r="H352" s="41">
        <f>H338</f>
        <v>79647.539999999994</v>
      </c>
      <c r="I352" s="41">
        <f>I338</f>
        <v>9883.66</v>
      </c>
      <c r="J352" s="41">
        <f>J338</f>
        <v>42540.89</v>
      </c>
      <c r="K352" s="47">
        <f>K338+K351</f>
        <v>50</v>
      </c>
      <c r="L352" s="41">
        <f>L338+L351</f>
        <v>190571.96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140676</v>
      </c>
      <c r="I358" s="18">
        <v>12079.03</v>
      </c>
      <c r="J358" s="18"/>
      <c r="K358" s="18"/>
      <c r="L358" s="13">
        <f>SUM(F358:K358)</f>
        <v>152755.03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140676</v>
      </c>
      <c r="I362" s="47">
        <f t="shared" si="22"/>
        <v>12079.03</v>
      </c>
      <c r="J362" s="47">
        <f t="shared" si="22"/>
        <v>0</v>
      </c>
      <c r="K362" s="47">
        <f t="shared" si="22"/>
        <v>0</v>
      </c>
      <c r="L362" s="47">
        <f t="shared" si="22"/>
        <v>152755.03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11379.03</v>
      </c>
      <c r="G367" s="18"/>
      <c r="H367" s="18"/>
      <c r="I367" s="56">
        <f>SUM(F367:H367)</f>
        <v>11379.03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700</v>
      </c>
      <c r="G368" s="63"/>
      <c r="H368" s="63"/>
      <c r="I368" s="56">
        <f>SUM(F368:H368)</f>
        <v>700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12079.03</v>
      </c>
      <c r="G369" s="47">
        <f>SUM(G367:G368)</f>
        <v>0</v>
      </c>
      <c r="H369" s="47">
        <f>SUM(H367:H368)</f>
        <v>0</v>
      </c>
      <c r="I369" s="47">
        <f>SUM(I367:I368)</f>
        <v>12079.03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10000</v>
      </c>
      <c r="H388" s="18"/>
      <c r="I388" s="18"/>
      <c r="J388" s="24" t="s">
        <v>289</v>
      </c>
      <c r="K388" s="24" t="s">
        <v>289</v>
      </c>
      <c r="L388" s="56">
        <f t="shared" si="25"/>
        <v>10000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3.34</v>
      </c>
      <c r="I392" s="18"/>
      <c r="J392" s="24" t="s">
        <v>289</v>
      </c>
      <c r="K392" s="24" t="s">
        <v>289</v>
      </c>
      <c r="L392" s="56">
        <f t="shared" si="25"/>
        <v>3.34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3.34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10003.34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7.97</v>
      </c>
      <c r="I396" s="18"/>
      <c r="J396" s="24" t="s">
        <v>289</v>
      </c>
      <c r="K396" s="24" t="s">
        <v>289</v>
      </c>
      <c r="L396" s="56">
        <f t="shared" si="26"/>
        <v>7.97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7.97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7.97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11.309999999999999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10011.31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>
        <v>3089.7</v>
      </c>
      <c r="L421" s="56">
        <f t="shared" ref="L421:L426" si="29">SUM(F421:K421)</f>
        <v>3089.7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3089.7</v>
      </c>
      <c r="L427" s="47">
        <f t="shared" si="30"/>
        <v>3089.7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3089.7</v>
      </c>
      <c r="L434" s="47">
        <f t="shared" si="32"/>
        <v>3089.7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21024.16</v>
      </c>
      <c r="H440" s="18">
        <v>12401.09</v>
      </c>
      <c r="I440" s="56">
        <f t="shared" si="33"/>
        <v>33425.25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10000</v>
      </c>
      <c r="H442" s="18">
        <v>0</v>
      </c>
      <c r="I442" s="56">
        <f t="shared" si="33"/>
        <v>10000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31024.16</v>
      </c>
      <c r="H446" s="13">
        <f>SUM(H439:H445)</f>
        <v>12401.09</v>
      </c>
      <c r="I446" s="13">
        <f>SUM(I439:I445)</f>
        <v>43425.25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3089.7</v>
      </c>
      <c r="H449" s="18">
        <v>0</v>
      </c>
      <c r="I449" s="56">
        <f>SUM(F449:H449)</f>
        <v>3089.7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3089.7</v>
      </c>
      <c r="H452" s="72">
        <f>SUM(H448:H451)</f>
        <v>0</v>
      </c>
      <c r="I452" s="72">
        <f>SUM(I448:I451)</f>
        <v>3089.7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27934.46</v>
      </c>
      <c r="H459" s="18">
        <v>12401.09</v>
      </c>
      <c r="I459" s="56">
        <f t="shared" si="34"/>
        <v>40335.550000000003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27934.46</v>
      </c>
      <c r="H460" s="83">
        <f>SUM(H454:H459)</f>
        <v>12401.09</v>
      </c>
      <c r="I460" s="83">
        <f>SUM(I454:I459)</f>
        <v>40335.550000000003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31024.16</v>
      </c>
      <c r="H461" s="42">
        <f>H452+H460</f>
        <v>12401.09</v>
      </c>
      <c r="I461" s="42">
        <f>I452+I460</f>
        <v>43425.25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362937.13</v>
      </c>
      <c r="G465" s="18">
        <v>6668.24</v>
      </c>
      <c r="H465" s="18">
        <v>0</v>
      </c>
      <c r="I465" s="18"/>
      <c r="J465" s="18">
        <v>33413.94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10898044.140000001</v>
      </c>
      <c r="G468" s="18">
        <v>148505.4</v>
      </c>
      <c r="H468" s="18">
        <v>190571.96</v>
      </c>
      <c r="I468" s="18"/>
      <c r="J468" s="18">
        <v>10011.31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10898044.140000001</v>
      </c>
      <c r="G470" s="53">
        <f>SUM(G468:G469)</f>
        <v>148505.4</v>
      </c>
      <c r="H470" s="53">
        <f>SUM(H468:H469)</f>
        <v>190571.96</v>
      </c>
      <c r="I470" s="53">
        <f>SUM(I468:I469)</f>
        <v>0</v>
      </c>
      <c r="J470" s="53">
        <f>SUM(J468:J469)</f>
        <v>10011.31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10783481.09</v>
      </c>
      <c r="G472" s="18">
        <v>152755.03</v>
      </c>
      <c r="H472" s="18">
        <v>190571.96</v>
      </c>
      <c r="I472" s="18"/>
      <c r="J472" s="18">
        <v>3089.7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10783481.09</v>
      </c>
      <c r="G474" s="53">
        <f>SUM(G472:G473)</f>
        <v>152755.03</v>
      </c>
      <c r="H474" s="53">
        <f>SUM(H472:H473)</f>
        <v>190571.96</v>
      </c>
      <c r="I474" s="53">
        <f>SUM(I472:I473)</f>
        <v>0</v>
      </c>
      <c r="J474" s="53">
        <f>SUM(J472:J473)</f>
        <v>3089.7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477500.18000000156</v>
      </c>
      <c r="G476" s="53">
        <f>(G465+G470)- G474</f>
        <v>2418.609999999986</v>
      </c>
      <c r="H476" s="53">
        <f>(H465+H470)- H474</f>
        <v>0</v>
      </c>
      <c r="I476" s="53">
        <f>(I465+I470)- I474</f>
        <v>0</v>
      </c>
      <c r="J476" s="53">
        <f>(J465+J470)- J474</f>
        <v>40335.550000000003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10</v>
      </c>
      <c r="H490" s="154">
        <v>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5" t="s">
        <v>916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450000</v>
      </c>
      <c r="G493" s="18">
        <v>2239800</v>
      </c>
      <c r="H493" s="18">
        <v>67291.399999999994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4.76</v>
      </c>
      <c r="G494" s="18">
        <v>3.63</v>
      </c>
      <c r="H494" s="18">
        <v>2.68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45000</v>
      </c>
      <c r="G495" s="18">
        <v>440000</v>
      </c>
      <c r="H495" s="18">
        <v>67291.399999999994</v>
      </c>
      <c r="I495" s="18"/>
      <c r="J495" s="18"/>
      <c r="K495" s="53">
        <f>SUM(F495:J495)</f>
        <v>552291.4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45000</v>
      </c>
      <c r="G497" s="18">
        <v>220000</v>
      </c>
      <c r="H497" s="18">
        <v>13703.63</v>
      </c>
      <c r="I497" s="18"/>
      <c r="J497" s="18"/>
      <c r="K497" s="53">
        <f t="shared" si="35"/>
        <v>278703.63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220000</v>
      </c>
      <c r="H498" s="204">
        <v>53587.77</v>
      </c>
      <c r="I498" s="204"/>
      <c r="J498" s="204"/>
      <c r="K498" s="205">
        <f t="shared" si="35"/>
        <v>273587.77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220000</v>
      </c>
      <c r="H500" s="42">
        <f>SUM(H498:H499)</f>
        <v>53587.77</v>
      </c>
      <c r="I500" s="42">
        <f>SUM(I498:I499)</f>
        <v>0</v>
      </c>
      <c r="J500" s="42">
        <f>SUM(J498:J499)</f>
        <v>0</v>
      </c>
      <c r="K500" s="42">
        <f t="shared" si="35"/>
        <v>273587.77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>
        <v>220000</v>
      </c>
      <c r="H501" s="204">
        <v>12870.26</v>
      </c>
      <c r="I501" s="204"/>
      <c r="J501" s="204"/>
      <c r="K501" s="205">
        <f t="shared" si="35"/>
        <v>232870.26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>
        <v>5500</v>
      </c>
      <c r="H502" s="18">
        <v>1436.15</v>
      </c>
      <c r="I502" s="18"/>
      <c r="J502" s="18"/>
      <c r="K502" s="53">
        <f t="shared" si="35"/>
        <v>6936.15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225500</v>
      </c>
      <c r="H503" s="42">
        <f>SUM(H501:H502)</f>
        <v>14306.41</v>
      </c>
      <c r="I503" s="42">
        <f>SUM(I501:I502)</f>
        <v>0</v>
      </c>
      <c r="J503" s="42">
        <f>SUM(J501:J502)</f>
        <v>0</v>
      </c>
      <c r="K503" s="42">
        <f t="shared" si="35"/>
        <v>239806.41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589288.14</v>
      </c>
      <c r="G521" s="18">
        <v>165714.59</v>
      </c>
      <c r="H521" s="18">
        <f>293068.75+60527.06</f>
        <v>353595.81</v>
      </c>
      <c r="I521" s="18">
        <f>7671.03+8644.75</f>
        <v>16315.779999999999</v>
      </c>
      <c r="J521" s="18">
        <f>3852.75+6127.06</f>
        <v>9979.8100000000013</v>
      </c>
      <c r="K521" s="18"/>
      <c r="L521" s="88">
        <f>SUM(F521:K521)</f>
        <v>1134894.1300000001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280569.5</v>
      </c>
      <c r="I523" s="18"/>
      <c r="J523" s="18"/>
      <c r="K523" s="18"/>
      <c r="L523" s="88">
        <f>SUM(F523:K523)</f>
        <v>280569.5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589288.14</v>
      </c>
      <c r="G524" s="108">
        <f t="shared" ref="G524:L524" si="36">SUM(G521:G523)</f>
        <v>165714.59</v>
      </c>
      <c r="H524" s="108">
        <f t="shared" si="36"/>
        <v>634165.31000000006</v>
      </c>
      <c r="I524" s="108">
        <f t="shared" si="36"/>
        <v>16315.779999999999</v>
      </c>
      <c r="J524" s="108">
        <f t="shared" si="36"/>
        <v>9979.8100000000013</v>
      </c>
      <c r="K524" s="108">
        <f t="shared" si="36"/>
        <v>0</v>
      </c>
      <c r="L524" s="89">
        <f t="shared" si="36"/>
        <v>1415463.6300000001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250927.94</v>
      </c>
      <c r="G526" s="18">
        <v>110301.9</v>
      </c>
      <c r="H526" s="18">
        <v>13105.51</v>
      </c>
      <c r="I526" s="18">
        <v>5108.41</v>
      </c>
      <c r="J526" s="18">
        <v>792.21</v>
      </c>
      <c r="K526" s="18"/>
      <c r="L526" s="88">
        <f>SUM(F526:K526)</f>
        <v>380235.97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1550</v>
      </c>
      <c r="I528" s="18"/>
      <c r="J528" s="18"/>
      <c r="K528" s="18"/>
      <c r="L528" s="88">
        <f>SUM(F528:K528)</f>
        <v>1550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250927.94</v>
      </c>
      <c r="G529" s="89">
        <f t="shared" ref="G529:L529" si="37">SUM(G526:G528)</f>
        <v>110301.9</v>
      </c>
      <c r="H529" s="89">
        <f t="shared" si="37"/>
        <v>14655.51</v>
      </c>
      <c r="I529" s="89">
        <f t="shared" si="37"/>
        <v>5108.41</v>
      </c>
      <c r="J529" s="89">
        <f t="shared" si="37"/>
        <v>792.21</v>
      </c>
      <c r="K529" s="89">
        <f t="shared" si="37"/>
        <v>0</v>
      </c>
      <c r="L529" s="89">
        <f t="shared" si="37"/>
        <v>381785.97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224422.56</v>
      </c>
      <c r="G531" s="18">
        <v>78683.320000000007</v>
      </c>
      <c r="H531" s="18">
        <v>5517.45</v>
      </c>
      <c r="I531" s="18">
        <v>1107.5999999999999</v>
      </c>
      <c r="J531" s="18">
        <v>148.55000000000001</v>
      </c>
      <c r="K531" s="18">
        <v>7002.58</v>
      </c>
      <c r="L531" s="88">
        <f>SUM(F531:K531)</f>
        <v>316882.06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224422.56</v>
      </c>
      <c r="G534" s="89">
        <f t="shared" ref="G534:L534" si="38">SUM(G531:G533)</f>
        <v>78683.320000000007</v>
      </c>
      <c r="H534" s="89">
        <f t="shared" si="38"/>
        <v>5517.45</v>
      </c>
      <c r="I534" s="89">
        <f t="shared" si="38"/>
        <v>1107.5999999999999</v>
      </c>
      <c r="J534" s="89">
        <f t="shared" si="38"/>
        <v>148.55000000000001</v>
      </c>
      <c r="K534" s="89">
        <f t="shared" si="38"/>
        <v>7002.58</v>
      </c>
      <c r="L534" s="89">
        <f t="shared" si="38"/>
        <v>316882.06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2688</v>
      </c>
      <c r="I536" s="18"/>
      <c r="J536" s="18"/>
      <c r="K536" s="18"/>
      <c r="L536" s="88">
        <f>SUM(F536:K536)</f>
        <v>2688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2688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2688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116160</v>
      </c>
      <c r="I541" s="18"/>
      <c r="J541" s="18"/>
      <c r="K541" s="18"/>
      <c r="L541" s="88">
        <f>SUM(F541:K541)</f>
        <v>116160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65340</v>
      </c>
      <c r="I542" s="18"/>
      <c r="J542" s="18"/>
      <c r="K542" s="18"/>
      <c r="L542" s="88">
        <f>SUM(F542:K542)</f>
        <v>65340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181500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181500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1064638.6400000001</v>
      </c>
      <c r="G545" s="89">
        <f t="shared" ref="G545:L545" si="41">G524+G529+G534+G539+G544</f>
        <v>354699.81</v>
      </c>
      <c r="H545" s="89">
        <f t="shared" si="41"/>
        <v>838526.27</v>
      </c>
      <c r="I545" s="89">
        <f t="shared" si="41"/>
        <v>22531.789999999997</v>
      </c>
      <c r="J545" s="89">
        <f t="shared" si="41"/>
        <v>10920.57</v>
      </c>
      <c r="K545" s="89">
        <f t="shared" si="41"/>
        <v>7002.58</v>
      </c>
      <c r="L545" s="89">
        <f t="shared" si="41"/>
        <v>2298319.66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1134894.1300000001</v>
      </c>
      <c r="G549" s="87">
        <f>L526</f>
        <v>380235.97</v>
      </c>
      <c r="H549" s="87">
        <f>L531</f>
        <v>316882.06</v>
      </c>
      <c r="I549" s="87">
        <f>L536</f>
        <v>2688</v>
      </c>
      <c r="J549" s="87">
        <f>L541</f>
        <v>116160</v>
      </c>
      <c r="K549" s="87">
        <f>SUM(F549:J549)</f>
        <v>1950860.1600000001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65340</v>
      </c>
      <c r="K550" s="87">
        <f>SUM(F550:J550)</f>
        <v>65340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280569.5</v>
      </c>
      <c r="G551" s="87">
        <f>L528</f>
        <v>1550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282119.5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1415463.6300000001</v>
      </c>
      <c r="G552" s="89">
        <f t="shared" si="42"/>
        <v>381785.97</v>
      </c>
      <c r="H552" s="89">
        <f t="shared" si="42"/>
        <v>316882.06</v>
      </c>
      <c r="I552" s="89">
        <f t="shared" si="42"/>
        <v>2688</v>
      </c>
      <c r="J552" s="89">
        <f t="shared" si="42"/>
        <v>181500</v>
      </c>
      <c r="K552" s="89">
        <f t="shared" si="42"/>
        <v>2298319.66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3538744.04</v>
      </c>
      <c r="I575" s="87">
        <f>SUM(F575:H575)</f>
        <v>3538744.04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264107.5</v>
      </c>
      <c r="I579" s="87">
        <f t="shared" si="47"/>
        <v>264107.5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111977.53</v>
      </c>
      <c r="G582" s="18"/>
      <c r="H582" s="18">
        <v>129114.94</v>
      </c>
      <c r="I582" s="87">
        <f t="shared" si="47"/>
        <v>241092.47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1970</v>
      </c>
      <c r="I584" s="87">
        <f t="shared" si="47"/>
        <v>1970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304439</v>
      </c>
      <c r="I591" s="18"/>
      <c r="J591" s="18">
        <v>111721</v>
      </c>
      <c r="K591" s="104">
        <f t="shared" ref="K591:K597" si="48">SUM(H591:J591)</f>
        <v>416160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116160</v>
      </c>
      <c r="I592" s="18"/>
      <c r="J592" s="18">
        <v>65340</v>
      </c>
      <c r="K592" s="104">
        <f t="shared" si="48"/>
        <v>181500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4486.75</v>
      </c>
      <c r="I594" s="18"/>
      <c r="J594" s="18"/>
      <c r="K594" s="104">
        <f t="shared" si="48"/>
        <v>4486.75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6737.25</v>
      </c>
      <c r="I595" s="18"/>
      <c r="J595" s="18"/>
      <c r="K595" s="104">
        <f t="shared" si="48"/>
        <v>6737.25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5810.15</v>
      </c>
      <c r="I597" s="18"/>
      <c r="J597" s="18"/>
      <c r="K597" s="104">
        <f t="shared" si="48"/>
        <v>5810.15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437633.15</v>
      </c>
      <c r="I598" s="108">
        <f>SUM(I591:I597)</f>
        <v>0</v>
      </c>
      <c r="J598" s="108">
        <f>SUM(J591:J597)</f>
        <v>177061</v>
      </c>
      <c r="K598" s="108">
        <f>SUM(K591:K597)</f>
        <v>614694.15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172604.25</v>
      </c>
      <c r="I604" s="18"/>
      <c r="J604" s="18"/>
      <c r="K604" s="104">
        <f>SUM(H604:J604)</f>
        <v>172604.25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172604.25</v>
      </c>
      <c r="I605" s="108">
        <f>SUM(I602:I604)</f>
        <v>0</v>
      </c>
      <c r="J605" s="108">
        <f>SUM(J602:J604)</f>
        <v>0</v>
      </c>
      <c r="K605" s="108">
        <f>SUM(K602:K604)</f>
        <v>172604.25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678436.92</v>
      </c>
      <c r="H617" s="109">
        <f>SUM(F52)</f>
        <v>678436.91999999993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45564.29</v>
      </c>
      <c r="H618" s="109">
        <f>SUM(G52)</f>
        <v>45564.29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31483.15</v>
      </c>
      <c r="H619" s="109">
        <f>SUM(H52)</f>
        <v>31483.15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43425.25</v>
      </c>
      <c r="H621" s="109">
        <f>SUM(J52)</f>
        <v>43425.25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477500.18</v>
      </c>
      <c r="H622" s="109">
        <f>F476</f>
        <v>477500.18000000156</v>
      </c>
      <c r="I622" s="121" t="s">
        <v>101</v>
      </c>
      <c r="J622" s="109">
        <f t="shared" ref="J622:J655" si="50">G622-H622</f>
        <v>-1.57160684466362E-9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2418.61</v>
      </c>
      <c r="H623" s="109">
        <f>G476</f>
        <v>2418.609999999986</v>
      </c>
      <c r="I623" s="121" t="s">
        <v>102</v>
      </c>
      <c r="J623" s="109">
        <f t="shared" si="50"/>
        <v>1.4097167877480388E-11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40335.550000000003</v>
      </c>
      <c r="H626" s="109">
        <f>J476</f>
        <v>40335.550000000003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10898044.139999999</v>
      </c>
      <c r="H627" s="104">
        <f>SUM(F468)</f>
        <v>10898044.140000001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148505.4</v>
      </c>
      <c r="H628" s="104">
        <f>SUM(G468)</f>
        <v>148505.4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190571.96</v>
      </c>
      <c r="H629" s="104">
        <f>SUM(H468)</f>
        <v>190571.96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10011.31</v>
      </c>
      <c r="H631" s="104">
        <f>SUM(J468)</f>
        <v>10011.31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10783481.09</v>
      </c>
      <c r="H632" s="104">
        <f>SUM(F472)</f>
        <v>10783481.09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190571.96</v>
      </c>
      <c r="H633" s="104">
        <f>SUM(H472)</f>
        <v>190571.96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12079.03</v>
      </c>
      <c r="H634" s="104">
        <f>I369</f>
        <v>12079.03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152755.03</v>
      </c>
      <c r="H635" s="104">
        <f>SUM(G472)</f>
        <v>152755.03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10011.31</v>
      </c>
      <c r="H637" s="164">
        <f>SUM(J468)</f>
        <v>10011.31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3089.7</v>
      </c>
      <c r="H638" s="164">
        <f>SUM(J472)</f>
        <v>3089.7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31024.16</v>
      </c>
      <c r="H640" s="104">
        <f>SUM(G461)</f>
        <v>31024.16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12401.09</v>
      </c>
      <c r="H641" s="104">
        <f>SUM(H461)</f>
        <v>12401.09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43425.25</v>
      </c>
      <c r="H642" s="104">
        <f>SUM(I461)</f>
        <v>43425.25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11.31</v>
      </c>
      <c r="H644" s="104">
        <f>H408</f>
        <v>11.309999999999999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10011.31</v>
      </c>
      <c r="H646" s="104">
        <f>L408</f>
        <v>10011.31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614694.15</v>
      </c>
      <c r="H647" s="104">
        <f>L208+L226+L244</f>
        <v>614694.15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172604.25</v>
      </c>
      <c r="H648" s="104">
        <f>(J257+J338)-(J255+J336)</f>
        <v>172604.25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437633.15</v>
      </c>
      <c r="H649" s="104">
        <f>H598</f>
        <v>437633.15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177061</v>
      </c>
      <c r="H651" s="104">
        <f>J598</f>
        <v>177061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6705173.6000000006</v>
      </c>
      <c r="G660" s="19">
        <f>(L229+L309+L359)</f>
        <v>0</v>
      </c>
      <c r="H660" s="19">
        <f>(L247+L328+L360)</f>
        <v>4129009.48</v>
      </c>
      <c r="I660" s="19">
        <f>SUM(F660:H660)</f>
        <v>10834183.08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95468.95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95468.95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437633.15</v>
      </c>
      <c r="G662" s="19">
        <f>(L226+L306)-(J226+J306)</f>
        <v>0</v>
      </c>
      <c r="H662" s="19">
        <f>(L244+L325)-(J244+J325)</f>
        <v>177061</v>
      </c>
      <c r="I662" s="19">
        <f>SUM(F662:H662)</f>
        <v>614694.15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284581.78000000003</v>
      </c>
      <c r="G663" s="199">
        <f>SUM(G575:G587)+SUM(I602:I604)+L612</f>
        <v>0</v>
      </c>
      <c r="H663" s="199">
        <f>SUM(H575:H587)+SUM(J602:J604)+L613</f>
        <v>3933936.48</v>
      </c>
      <c r="I663" s="19">
        <f>SUM(F663:H663)</f>
        <v>4218518.26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5887489.7200000007</v>
      </c>
      <c r="G664" s="19">
        <f>G660-SUM(G661:G663)</f>
        <v>0</v>
      </c>
      <c r="H664" s="19">
        <f>H660-SUM(H661:H663)</f>
        <v>18012</v>
      </c>
      <c r="I664" s="19">
        <f>I660-SUM(I661:I663)</f>
        <v>5905501.7200000007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411.04</v>
      </c>
      <c r="G665" s="248"/>
      <c r="H665" s="248"/>
      <c r="I665" s="19">
        <f>SUM(F665:H665)</f>
        <v>411.04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14323.4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14367.22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-18012</v>
      </c>
      <c r="I669" s="19">
        <f>SUM(F669:H669)</f>
        <v>-18012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14323.4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14323.4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C47" sqref="C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Fremont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1697032.03</v>
      </c>
      <c r="C9" s="229">
        <f>'DOE25'!G197+'DOE25'!G215+'DOE25'!G233+'DOE25'!G276+'DOE25'!G295+'DOE25'!G314</f>
        <v>828362.97</v>
      </c>
    </row>
    <row r="10" spans="1:3" x14ac:dyDescent="0.2">
      <c r="A10" t="s">
        <v>779</v>
      </c>
      <c r="B10" s="240">
        <f>1595046.27+38670.76</f>
        <v>1633717.03</v>
      </c>
      <c r="C10" s="240">
        <v>823519.37</v>
      </c>
    </row>
    <row r="11" spans="1:3" x14ac:dyDescent="0.2">
      <c r="A11" t="s">
        <v>780</v>
      </c>
      <c r="B11" s="240">
        <v>1580</v>
      </c>
      <c r="C11" s="240">
        <v>120.87</v>
      </c>
    </row>
    <row r="12" spans="1:3" x14ac:dyDescent="0.2">
      <c r="A12" t="s">
        <v>781</v>
      </c>
      <c r="B12" s="240">
        <v>61735</v>
      </c>
      <c r="C12" s="240">
        <v>4722.7299999999996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1697032.03</v>
      </c>
      <c r="C13" s="231">
        <f>SUM(C10:C12)</f>
        <v>828362.97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589288.14</v>
      </c>
      <c r="C18" s="229">
        <f>'DOE25'!G198+'DOE25'!G216+'DOE25'!G234+'DOE25'!G277+'DOE25'!G296+'DOE25'!G315</f>
        <v>165714.59</v>
      </c>
    </row>
    <row r="19" spans="1:3" x14ac:dyDescent="0.2">
      <c r="A19" t="s">
        <v>779</v>
      </c>
      <c r="B19" s="240">
        <v>313970.03999999998</v>
      </c>
      <c r="C19" s="240">
        <v>110940.36</v>
      </c>
    </row>
    <row r="20" spans="1:3" x14ac:dyDescent="0.2">
      <c r="A20" t="s">
        <v>780</v>
      </c>
      <c r="B20" s="240">
        <v>272018.09999999998</v>
      </c>
      <c r="C20" s="240">
        <f>20809.38+26500+7000</f>
        <v>54309.380000000005</v>
      </c>
    </row>
    <row r="21" spans="1:3" x14ac:dyDescent="0.2">
      <c r="A21" t="s">
        <v>781</v>
      </c>
      <c r="B21" s="240">
        <v>3300</v>
      </c>
      <c r="C21" s="240">
        <v>464.85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589288.1399999999</v>
      </c>
      <c r="C22" s="231">
        <f>SUM(C19:C21)</f>
        <v>165714.59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/>
    </row>
    <row r="29" spans="1:3" x14ac:dyDescent="0.2">
      <c r="A29" t="s">
        <v>780</v>
      </c>
      <c r="B29" s="240">
        <v>0</v>
      </c>
      <c r="C29" s="240"/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34050</v>
      </c>
      <c r="C36" s="235">
        <f>'DOE25'!G200+'DOE25'!G218+'DOE25'!G236+'DOE25'!G279+'DOE25'!G298+'DOE25'!G317</f>
        <v>5421.63</v>
      </c>
    </row>
    <row r="37" spans="1:3" x14ac:dyDescent="0.2">
      <c r="A37" t="s">
        <v>779</v>
      </c>
      <c r="B37" s="240">
        <v>25636.36</v>
      </c>
      <c r="C37" s="240">
        <v>4499.5200000000004</v>
      </c>
    </row>
    <row r="38" spans="1:3" x14ac:dyDescent="0.2">
      <c r="A38" t="s">
        <v>780</v>
      </c>
      <c r="B38" s="240">
        <v>1600</v>
      </c>
      <c r="C38" s="240">
        <v>122.4</v>
      </c>
    </row>
    <row r="39" spans="1:3" x14ac:dyDescent="0.2">
      <c r="A39" t="s">
        <v>781</v>
      </c>
      <c r="B39" s="240">
        <v>6813.64</v>
      </c>
      <c r="C39" s="240">
        <f>521.24+263.87+14.6</f>
        <v>799.71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34050</v>
      </c>
      <c r="C40" s="231">
        <f>SUM(C37:C39)</f>
        <v>5421.63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Fremont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7559319.7200000007</v>
      </c>
      <c r="D5" s="20">
        <f>SUM('DOE25'!L197:L200)+SUM('DOE25'!L215:L218)+SUM('DOE25'!L233:L236)-F5-G5</f>
        <v>7483419.5000000009</v>
      </c>
      <c r="E5" s="243"/>
      <c r="F5" s="255">
        <f>SUM('DOE25'!J197:J200)+SUM('DOE25'!J215:J218)+SUM('DOE25'!J233:J236)</f>
        <v>75284.22</v>
      </c>
      <c r="G5" s="53">
        <f>SUM('DOE25'!K197:K200)+SUM('DOE25'!K215:K218)+SUM('DOE25'!K233:K236)</f>
        <v>616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606293.54</v>
      </c>
      <c r="D6" s="20">
        <f>'DOE25'!L202+'DOE25'!L220+'DOE25'!L238-F6-G6</f>
        <v>604382.35000000009</v>
      </c>
      <c r="E6" s="243"/>
      <c r="F6" s="255">
        <f>'DOE25'!J202+'DOE25'!J220+'DOE25'!J238</f>
        <v>1601.19</v>
      </c>
      <c r="G6" s="53">
        <f>'DOE25'!K202+'DOE25'!K220+'DOE25'!K238</f>
        <v>310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214417.01</v>
      </c>
      <c r="D7" s="20">
        <f>'DOE25'!L203+'DOE25'!L221+'DOE25'!L239-F7-G7</f>
        <v>176708.26</v>
      </c>
      <c r="E7" s="243"/>
      <c r="F7" s="255">
        <f>'DOE25'!J203+'DOE25'!J221+'DOE25'!J239</f>
        <v>37708.75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409446.72000000003</v>
      </c>
      <c r="D8" s="243"/>
      <c r="E8" s="20">
        <f>'DOE25'!L204+'DOE25'!L222+'DOE25'!L240-F8-G8-D9-D11</f>
        <v>380893.44000000006</v>
      </c>
      <c r="F8" s="255">
        <f>'DOE25'!J204+'DOE25'!J222+'DOE25'!J240</f>
        <v>148.55000000000001</v>
      </c>
      <c r="G8" s="53">
        <f>'DOE25'!K204+'DOE25'!K222+'DOE25'!K240</f>
        <v>28404.73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107033.93</v>
      </c>
      <c r="D9" s="244">
        <v>107033.93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12349.5</v>
      </c>
      <c r="D10" s="243"/>
      <c r="E10" s="244">
        <v>12349.5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216829.9</v>
      </c>
      <c r="D11" s="244">
        <v>216829.9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372643.93</v>
      </c>
      <c r="D12" s="20">
        <f>'DOE25'!L205+'DOE25'!L223+'DOE25'!L241-F12-G12</f>
        <v>360954.19</v>
      </c>
      <c r="E12" s="243"/>
      <c r="F12" s="255">
        <f>'DOE25'!J205+'DOE25'!J223+'DOE25'!J241</f>
        <v>8458.19</v>
      </c>
      <c r="G12" s="53">
        <f>'DOE25'!K205+'DOE25'!K223+'DOE25'!K241</f>
        <v>3231.55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390177.19</v>
      </c>
      <c r="D14" s="20">
        <f>'DOE25'!L207+'DOE25'!L225+'DOE25'!L243-F14-G14</f>
        <v>383314.73</v>
      </c>
      <c r="E14" s="243"/>
      <c r="F14" s="255">
        <f>'DOE25'!J207+'DOE25'!J225+'DOE25'!J243</f>
        <v>6862.46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614694.15</v>
      </c>
      <c r="D15" s="20">
        <f>'DOE25'!L208+'DOE25'!L226+'DOE25'!L244-F15-G15</f>
        <v>614694.15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282625</v>
      </c>
      <c r="D25" s="243"/>
      <c r="E25" s="243"/>
      <c r="F25" s="258"/>
      <c r="G25" s="256"/>
      <c r="H25" s="257">
        <f>'DOE25'!L260+'DOE25'!L261+'DOE25'!L341+'DOE25'!L342</f>
        <v>282625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141376</v>
      </c>
      <c r="D29" s="20">
        <f>'DOE25'!L358+'DOE25'!L359+'DOE25'!L360-'DOE25'!I367-F29-G29</f>
        <v>141376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190571.96000000002</v>
      </c>
      <c r="D31" s="20">
        <f>'DOE25'!L290+'DOE25'!L309+'DOE25'!L328+'DOE25'!L333+'DOE25'!L334+'DOE25'!L335-F31-G31</f>
        <v>147981.07</v>
      </c>
      <c r="E31" s="243"/>
      <c r="F31" s="255">
        <f>'DOE25'!J290+'DOE25'!J309+'DOE25'!J328+'DOE25'!J333+'DOE25'!J334+'DOE25'!J335</f>
        <v>42540.89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10236694.080000002</v>
      </c>
      <c r="E33" s="246">
        <f>SUM(E5:E31)</f>
        <v>393242.94000000006</v>
      </c>
      <c r="F33" s="246">
        <f>SUM(F5:F31)</f>
        <v>172604.25</v>
      </c>
      <c r="G33" s="246">
        <f>SUM(G5:G31)</f>
        <v>32612.28</v>
      </c>
      <c r="H33" s="246">
        <f>SUM(H5:H31)</f>
        <v>282625</v>
      </c>
    </row>
    <row r="35" spans="2:8" ht="12" thickBot="1" x14ac:dyDescent="0.25">
      <c r="B35" s="253" t="s">
        <v>847</v>
      </c>
      <c r="D35" s="254">
        <f>E33</f>
        <v>393242.94000000006</v>
      </c>
      <c r="E35" s="249"/>
    </row>
    <row r="36" spans="2:8" ht="12" thickTop="1" x14ac:dyDescent="0.2">
      <c r="B36" t="s">
        <v>815</v>
      </c>
      <c r="D36" s="20">
        <f>D33</f>
        <v>10236694.080000002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273883.03999999998</v>
      </c>
      <c r="D8" s="95">
        <f>'DOE25'!G9</f>
        <v>21421.66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279118.74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33425.25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64698.73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57988.639999999999</v>
      </c>
      <c r="D12" s="95">
        <f>'DOE25'!G13</f>
        <v>2746.39</v>
      </c>
      <c r="E12" s="95">
        <f>'DOE25'!H13</f>
        <v>31483.15</v>
      </c>
      <c r="F12" s="95">
        <f>'DOE25'!I13</f>
        <v>0</v>
      </c>
      <c r="G12" s="95">
        <f>'DOE25'!J13</f>
        <v>10000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2747.77</v>
      </c>
      <c r="D13" s="95">
        <f>'DOE25'!G14</f>
        <v>20050.52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1345.72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678436.92</v>
      </c>
      <c r="D18" s="41">
        <f>SUM(D8:D17)</f>
        <v>45564.29</v>
      </c>
      <c r="E18" s="41">
        <f>SUM(E8:E17)</f>
        <v>31483.15</v>
      </c>
      <c r="F18" s="41">
        <f>SUM(F8:F17)</f>
        <v>0</v>
      </c>
      <c r="G18" s="41">
        <f>SUM(G8:G17)</f>
        <v>43425.25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39897.58</v>
      </c>
      <c r="E21" s="95">
        <f>'DOE25'!H22</f>
        <v>24801.15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3089.7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19436.25</v>
      </c>
      <c r="D23" s="95">
        <f>'DOE25'!G24</f>
        <v>0</v>
      </c>
      <c r="E23" s="95">
        <f>'DOE25'!H24</f>
        <v>6682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1253.6099999999999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35682.660000000003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3248.1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134564.22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200936.74</v>
      </c>
      <c r="D31" s="41">
        <f>SUM(D21:D30)</f>
        <v>43145.68</v>
      </c>
      <c r="E31" s="41">
        <f>SUM(E21:E30)</f>
        <v>31483.15</v>
      </c>
      <c r="F31" s="41">
        <f>SUM(F21:F30)</f>
        <v>0</v>
      </c>
      <c r="G31" s="41">
        <f>SUM(G21:G30)</f>
        <v>3089.7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1345.72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 t="str">
        <f>'DOE25'!F46</f>
        <v xml:space="preserve"> 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1072.8900000000001</v>
      </c>
      <c r="E47" s="95">
        <f>'DOE25'!H48</f>
        <v>0</v>
      </c>
      <c r="F47" s="95">
        <f>'DOE25'!I48</f>
        <v>0</v>
      </c>
      <c r="G47" s="95">
        <f>'DOE25'!J48</f>
        <v>40335.550000000003</v>
      </c>
      <c r="H47" s="124"/>
      <c r="I47" s="124"/>
    </row>
    <row r="48" spans="1:9" x14ac:dyDescent="0.2">
      <c r="A48" s="1" t="s">
        <v>907</v>
      </c>
      <c r="B48" s="6">
        <v>753</v>
      </c>
      <c r="C48" s="95" t="str">
        <f>'DOE25'!F49</f>
        <v xml:space="preserve"> 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467500.18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477500.18</v>
      </c>
      <c r="D50" s="41">
        <f>SUM(D34:D49)</f>
        <v>2418.61</v>
      </c>
      <c r="E50" s="41">
        <f>SUM(E34:E49)</f>
        <v>0</v>
      </c>
      <c r="F50" s="41">
        <f>SUM(F34:F49)</f>
        <v>0</v>
      </c>
      <c r="G50" s="41">
        <f>SUM(G34:G49)</f>
        <v>40335.550000000003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678436.91999999993</v>
      </c>
      <c r="D51" s="41">
        <f>D50+D31</f>
        <v>45564.29</v>
      </c>
      <c r="E51" s="41">
        <f>E50+E31</f>
        <v>31483.15</v>
      </c>
      <c r="F51" s="41">
        <f>F50+F31</f>
        <v>0</v>
      </c>
      <c r="G51" s="41">
        <f>G50+G31</f>
        <v>43425.25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7946081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15417.48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125.88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11.31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95468.95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113259.84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128803.2</v>
      </c>
      <c r="D62" s="130">
        <f>SUM(D57:D61)</f>
        <v>95468.95</v>
      </c>
      <c r="E62" s="130">
        <f>SUM(E57:E61)</f>
        <v>0</v>
      </c>
      <c r="F62" s="130">
        <f>SUM(F57:F61)</f>
        <v>0</v>
      </c>
      <c r="G62" s="130">
        <f>SUM(G57:G61)</f>
        <v>11.31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8074884.2000000002</v>
      </c>
      <c r="D63" s="22">
        <f>D56+D62</f>
        <v>95468.95</v>
      </c>
      <c r="E63" s="22">
        <f>E56+E62</f>
        <v>0</v>
      </c>
      <c r="F63" s="22">
        <f>F56+F62</f>
        <v>0</v>
      </c>
      <c r="G63" s="22">
        <f>G56+G62</f>
        <v>11.31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1729298.46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874301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12435.2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2616034.66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88019.46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45654.26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11969.55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133673.72</v>
      </c>
      <c r="D78" s="130">
        <f>SUM(D72:D77)</f>
        <v>11969.55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2749708.3800000004</v>
      </c>
      <c r="D81" s="130">
        <f>SUM(D79:D80)+D78+D70</f>
        <v>11969.55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42157.39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70361.86</v>
      </c>
      <c r="D88" s="95">
        <f>SUM('DOE25'!G153:G161)</f>
        <v>41066.9</v>
      </c>
      <c r="E88" s="95">
        <f>SUM('DOE25'!H153:H161)</f>
        <v>148414.57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70361.86</v>
      </c>
      <c r="D91" s="131">
        <f>SUM(D85:D90)</f>
        <v>41066.9</v>
      </c>
      <c r="E91" s="131">
        <f>SUM(E85:E90)</f>
        <v>190571.96000000002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3089.7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3089.7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10898044.139999999</v>
      </c>
      <c r="D104" s="86">
        <f>D63+D81+D91+D103</f>
        <v>148505.4</v>
      </c>
      <c r="E104" s="86">
        <f>E63+E81+E91+E103</f>
        <v>190571.96000000002</v>
      </c>
      <c r="F104" s="86">
        <f>F63+F81+F91+F103</f>
        <v>0</v>
      </c>
      <c r="G104" s="86">
        <f>G63+G81+G103</f>
        <v>10011.31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6169286.04</v>
      </c>
      <c r="D109" s="24" t="s">
        <v>289</v>
      </c>
      <c r="E109" s="95">
        <f>('DOE25'!L276)+('DOE25'!L295)+('DOE25'!L314)</f>
        <v>42264.880000000005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1340164.76</v>
      </c>
      <c r="D110" s="24" t="s">
        <v>289</v>
      </c>
      <c r="E110" s="95">
        <f>('DOE25'!L277)+('DOE25'!L296)+('DOE25'!L315)</f>
        <v>75298.87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49868.92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7559319.7199999997</v>
      </c>
      <c r="D115" s="86">
        <f>SUM(D109:D114)</f>
        <v>0</v>
      </c>
      <c r="E115" s="86">
        <f>SUM(E109:E114)</f>
        <v>117563.75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606293.54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214417.01</v>
      </c>
      <c r="D119" s="24" t="s">
        <v>289</v>
      </c>
      <c r="E119" s="95">
        <f>+('DOE25'!L282)+('DOE25'!L301)+('DOE25'!L320)</f>
        <v>59533.479999999996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733310.55</v>
      </c>
      <c r="D120" s="24" t="s">
        <v>289</v>
      </c>
      <c r="E120" s="95">
        <f>+('DOE25'!L283)+('DOE25'!L302)+('DOE25'!L321)</f>
        <v>9594.73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372643.93</v>
      </c>
      <c r="D121" s="24" t="s">
        <v>289</v>
      </c>
      <c r="E121" s="95">
        <f>+('DOE25'!L284)+('DOE25'!L303)+('DOE25'!L322)</f>
        <v>3880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390177.19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614694.15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152755.03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2931536.37</v>
      </c>
      <c r="D128" s="86">
        <f>SUM(D118:D127)</f>
        <v>152755.03</v>
      </c>
      <c r="E128" s="86">
        <f>SUM(E118:E127)</f>
        <v>73008.209999999992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17625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3089.7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10003.34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7.97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-11.309999999999491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292625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3089.7</v>
      </c>
    </row>
    <row r="145" spans="1:9" ht="12.75" thickTop="1" thickBot="1" x14ac:dyDescent="0.25">
      <c r="A145" s="33" t="s">
        <v>244</v>
      </c>
      <c r="C145" s="86">
        <f>(C115+C128+C144)</f>
        <v>10783481.09</v>
      </c>
      <c r="D145" s="86">
        <f>(D115+D128+D144)</f>
        <v>152755.03</v>
      </c>
      <c r="E145" s="86">
        <f>(E115+E128+E144)</f>
        <v>190571.96</v>
      </c>
      <c r="F145" s="86">
        <f>(F115+F128+F144)</f>
        <v>0</v>
      </c>
      <c r="G145" s="86">
        <f>(G115+G128+G144)</f>
        <v>3089.7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 t="str">
        <f>'DOE25'!G491</f>
        <v>08/04</v>
      </c>
      <c r="D152" s="152" t="str">
        <f>'DOE25'!H491</f>
        <v>04/13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08/13</v>
      </c>
      <c r="C153" s="152" t="str">
        <f>'DOE25'!G492</f>
        <v>08/14</v>
      </c>
      <c r="D153" s="152" t="str">
        <f>'DOE25'!H492</f>
        <v>08/17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450000</v>
      </c>
      <c r="C154" s="137">
        <f>'DOE25'!G493</f>
        <v>2239800</v>
      </c>
      <c r="D154" s="137">
        <f>'DOE25'!H493</f>
        <v>67291.399999999994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4.76</v>
      </c>
      <c r="C155" s="137">
        <f>'DOE25'!G494</f>
        <v>3.63</v>
      </c>
      <c r="D155" s="137">
        <f>'DOE25'!H494</f>
        <v>2.68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45000</v>
      </c>
      <c r="C156" s="137">
        <f>'DOE25'!G495</f>
        <v>440000</v>
      </c>
      <c r="D156" s="137">
        <f>'DOE25'!H495</f>
        <v>67291.399999999994</v>
      </c>
      <c r="E156" s="137">
        <f>'DOE25'!I495</f>
        <v>0</v>
      </c>
      <c r="F156" s="137">
        <f>'DOE25'!J495</f>
        <v>0</v>
      </c>
      <c r="G156" s="138">
        <f>SUM(B156:F156)</f>
        <v>552291.4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45000</v>
      </c>
      <c r="C158" s="137">
        <f>'DOE25'!G497</f>
        <v>220000</v>
      </c>
      <c r="D158" s="137">
        <f>'DOE25'!H497</f>
        <v>13703.63</v>
      </c>
      <c r="E158" s="137">
        <f>'DOE25'!I497</f>
        <v>0</v>
      </c>
      <c r="F158" s="137">
        <f>'DOE25'!J497</f>
        <v>0</v>
      </c>
      <c r="G158" s="138">
        <f t="shared" si="0"/>
        <v>278703.63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220000</v>
      </c>
      <c r="D159" s="137">
        <f>'DOE25'!H498</f>
        <v>53587.77</v>
      </c>
      <c r="E159" s="137">
        <f>'DOE25'!I498</f>
        <v>0</v>
      </c>
      <c r="F159" s="137">
        <f>'DOE25'!J498</f>
        <v>0</v>
      </c>
      <c r="G159" s="138">
        <f t="shared" si="0"/>
        <v>273587.77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220000</v>
      </c>
      <c r="D161" s="137">
        <f>'DOE25'!H500</f>
        <v>53587.77</v>
      </c>
      <c r="E161" s="137">
        <f>'DOE25'!I500</f>
        <v>0</v>
      </c>
      <c r="F161" s="137">
        <f>'DOE25'!J500</f>
        <v>0</v>
      </c>
      <c r="G161" s="138">
        <f t="shared" si="0"/>
        <v>273587.77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220000</v>
      </c>
      <c r="D162" s="137">
        <f>'DOE25'!H501</f>
        <v>12870.26</v>
      </c>
      <c r="E162" s="137">
        <f>'DOE25'!I501</f>
        <v>0</v>
      </c>
      <c r="F162" s="137">
        <f>'DOE25'!J501</f>
        <v>0</v>
      </c>
      <c r="G162" s="138">
        <f t="shared" si="0"/>
        <v>232870.26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5500</v>
      </c>
      <c r="D163" s="137">
        <f>'DOE25'!H502</f>
        <v>1436.15</v>
      </c>
      <c r="E163" s="137">
        <f>'DOE25'!I502</f>
        <v>0</v>
      </c>
      <c r="F163" s="137">
        <f>'DOE25'!J502</f>
        <v>0</v>
      </c>
      <c r="G163" s="138">
        <f t="shared" si="0"/>
        <v>6936.15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225500</v>
      </c>
      <c r="D164" s="137">
        <f>'DOE25'!H503</f>
        <v>14306.41</v>
      </c>
      <c r="E164" s="137">
        <f>'DOE25'!I503</f>
        <v>0</v>
      </c>
      <c r="F164" s="137">
        <f>'DOE25'!J503</f>
        <v>0</v>
      </c>
      <c r="G164" s="138">
        <f t="shared" si="0"/>
        <v>239806.41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Fremont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14323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14323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6211551</v>
      </c>
      <c r="D10" s="182">
        <f>ROUND((C10/$C$28)*100,1)</f>
        <v>57.7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1415464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49869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606294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273950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742905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376524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390177</v>
      </c>
      <c r="D20" s="182">
        <f t="shared" si="0"/>
        <v>3.6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614694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17625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57286.05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10756339.050000001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10756339.050000001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7946081</v>
      </c>
      <c r="D35" s="182">
        <f t="shared" ref="D35:D40" si="1">ROUND((C35/$C$41)*100,1)</f>
        <v>71.3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128814.50999999978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2603599</v>
      </c>
      <c r="D37" s="182">
        <f t="shared" si="1"/>
        <v>23.4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158078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302001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11138573.51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Fremont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918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917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2014-09-08T23:24:33Z</cp:lastPrinted>
  <dcterms:created xsi:type="dcterms:W3CDTF">1997-12-04T19:04:30Z</dcterms:created>
  <dcterms:modified xsi:type="dcterms:W3CDTF">2014-09-23T12:37:40Z</dcterms:modified>
</cp:coreProperties>
</file>