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7565" windowHeight="85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6" i="12" l="1"/>
  <c r="C27" i="12"/>
  <c r="C18" i="12"/>
  <c r="C9" i="12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20" i="10" s="1"/>
  <c r="L243" i="1"/>
  <c r="F15" i="13"/>
  <c r="G15" i="13"/>
  <c r="L208" i="1"/>
  <c r="G649" i="1" s="1"/>
  <c r="L226" i="1"/>
  <c r="G662" i="1" s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B40" i="12"/>
  <c r="C40" i="12"/>
  <c r="B27" i="12"/>
  <c r="B31" i="12"/>
  <c r="C31" i="12"/>
  <c r="B9" i="12"/>
  <c r="B13" i="12"/>
  <c r="C13" i="12"/>
  <c r="B18" i="12"/>
  <c r="B22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1" i="2"/>
  <c r="E112" i="2"/>
  <c r="C113" i="2"/>
  <c r="E113" i="2"/>
  <c r="C114" i="2"/>
  <c r="E114" i="2"/>
  <c r="D115" i="2"/>
  <c r="F115" i="2"/>
  <c r="G115" i="2"/>
  <c r="E121" i="2"/>
  <c r="E122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J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29" i="1" s="1"/>
  <c r="G247" i="1" s="1"/>
  <c r="H211" i="1"/>
  <c r="I211" i="1"/>
  <c r="J211" i="1"/>
  <c r="K211" i="1"/>
  <c r="F229" i="1"/>
  <c r="H229" i="1"/>
  <c r="I229" i="1"/>
  <c r="J229" i="1"/>
  <c r="K229" i="1"/>
  <c r="F247" i="1"/>
  <c r="H247" i="1"/>
  <c r="I247" i="1"/>
  <c r="J247" i="1"/>
  <c r="K247" i="1"/>
  <c r="F256" i="1"/>
  <c r="L256" i="1" s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2" i="1"/>
  <c r="G643" i="1"/>
  <c r="H643" i="1"/>
  <c r="G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C26" i="10"/>
  <c r="L351" i="1"/>
  <c r="C70" i="2"/>
  <c r="L427" i="1"/>
  <c r="H112" i="1"/>
  <c r="F112" i="1"/>
  <c r="J641" i="1"/>
  <c r="K605" i="1"/>
  <c r="G648" i="1" s="1"/>
  <c r="J571" i="1"/>
  <c r="K571" i="1"/>
  <c r="L433" i="1"/>
  <c r="L419" i="1"/>
  <c r="I169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F169" i="1"/>
  <c r="J140" i="1"/>
  <c r="F571" i="1"/>
  <c r="I552" i="1"/>
  <c r="G22" i="2"/>
  <c r="K545" i="1"/>
  <c r="J552" i="1"/>
  <c r="C29" i="10"/>
  <c r="H140" i="1"/>
  <c r="F22" i="13"/>
  <c r="C22" i="13" s="1"/>
  <c r="H25" i="13"/>
  <c r="C25" i="13" s="1"/>
  <c r="H571" i="1"/>
  <c r="L560" i="1"/>
  <c r="G192" i="1"/>
  <c r="H192" i="1"/>
  <c r="C35" i="10"/>
  <c r="J655" i="1"/>
  <c r="J645" i="1"/>
  <c r="L570" i="1"/>
  <c r="I571" i="1"/>
  <c r="J636" i="1"/>
  <c r="G36" i="2"/>
  <c r="L565" i="1"/>
  <c r="A40" i="12" l="1"/>
  <c r="A13" i="12"/>
  <c r="L614" i="1"/>
  <c r="L529" i="1"/>
  <c r="G552" i="1"/>
  <c r="I545" i="1"/>
  <c r="F552" i="1"/>
  <c r="G545" i="1"/>
  <c r="K549" i="1"/>
  <c r="E120" i="2"/>
  <c r="E124" i="2"/>
  <c r="C21" i="10"/>
  <c r="E110" i="2"/>
  <c r="J338" i="1"/>
  <c r="J352" i="1" s="1"/>
  <c r="G338" i="1"/>
  <c r="G352" i="1" s="1"/>
  <c r="E118" i="2"/>
  <c r="E119" i="2"/>
  <c r="K550" i="1"/>
  <c r="K551" i="1"/>
  <c r="H552" i="1"/>
  <c r="L534" i="1"/>
  <c r="H545" i="1"/>
  <c r="K598" i="1"/>
  <c r="G647" i="1" s="1"/>
  <c r="J647" i="1" s="1"/>
  <c r="J649" i="1"/>
  <c r="K500" i="1"/>
  <c r="L362" i="1"/>
  <c r="C27" i="10" s="1"/>
  <c r="I369" i="1"/>
  <c r="H634" i="1" s="1"/>
  <c r="J634" i="1" s="1"/>
  <c r="F661" i="1"/>
  <c r="D29" i="13"/>
  <c r="C29" i="13" s="1"/>
  <c r="D127" i="2"/>
  <c r="D128" i="2" s="1"/>
  <c r="D145" i="2" s="1"/>
  <c r="G661" i="1"/>
  <c r="K338" i="1"/>
  <c r="K352" i="1" s="1"/>
  <c r="L328" i="1"/>
  <c r="L309" i="1"/>
  <c r="H338" i="1"/>
  <c r="H352" i="1" s="1"/>
  <c r="F338" i="1"/>
  <c r="F352" i="1" s="1"/>
  <c r="E109" i="2"/>
  <c r="E115" i="2" s="1"/>
  <c r="L290" i="1"/>
  <c r="C111" i="2"/>
  <c r="C78" i="2"/>
  <c r="C81" i="2" s="1"/>
  <c r="C15" i="10"/>
  <c r="H662" i="1"/>
  <c r="I662" i="1" s="1"/>
  <c r="G62" i="2"/>
  <c r="G63" i="2" s="1"/>
  <c r="D19" i="13"/>
  <c r="C19" i="13" s="1"/>
  <c r="D18" i="13"/>
  <c r="C18" i="13" s="1"/>
  <c r="D15" i="13"/>
  <c r="C15" i="13" s="1"/>
  <c r="C91" i="2"/>
  <c r="C112" i="2"/>
  <c r="G161" i="2"/>
  <c r="D91" i="2"/>
  <c r="E31" i="2"/>
  <c r="A31" i="12"/>
  <c r="D17" i="13"/>
  <c r="C17" i="13" s="1"/>
  <c r="E16" i="13"/>
  <c r="C16" i="13" s="1"/>
  <c r="E78" i="2"/>
  <c r="E81" i="2" s="1"/>
  <c r="G164" i="2"/>
  <c r="G156" i="2"/>
  <c r="G157" i="2"/>
  <c r="E103" i="2"/>
  <c r="G81" i="2"/>
  <c r="F78" i="2"/>
  <c r="F81" i="2" s="1"/>
  <c r="D62" i="2"/>
  <c r="D63" i="2" s="1"/>
  <c r="E62" i="2"/>
  <c r="E63" i="2" s="1"/>
  <c r="D50" i="2"/>
  <c r="F18" i="2"/>
  <c r="E8" i="13"/>
  <c r="C8" i="13" s="1"/>
  <c r="D31" i="2"/>
  <c r="C18" i="2"/>
  <c r="D18" i="2"/>
  <c r="D5" i="13"/>
  <c r="C5" i="13" s="1"/>
  <c r="D81" i="2"/>
  <c r="C19" i="10"/>
  <c r="E13" i="13"/>
  <c r="C13" i="13" s="1"/>
  <c r="G257" i="1"/>
  <c r="G271" i="1" s="1"/>
  <c r="C123" i="2"/>
  <c r="J644" i="1"/>
  <c r="J639" i="1"/>
  <c r="I460" i="1"/>
  <c r="I461" i="1" s="1"/>
  <c r="H642" i="1" s="1"/>
  <c r="H52" i="1"/>
  <c r="H619" i="1" s="1"/>
  <c r="J619" i="1" s="1"/>
  <c r="J622" i="1"/>
  <c r="C17" i="10"/>
  <c r="K257" i="1"/>
  <c r="K271" i="1" s="1"/>
  <c r="H33" i="13"/>
  <c r="C62" i="2"/>
  <c r="C63" i="2" s="1"/>
  <c r="H661" i="1"/>
  <c r="J257" i="1"/>
  <c r="J271" i="1" s="1"/>
  <c r="C119" i="2"/>
  <c r="I257" i="1"/>
  <c r="I271" i="1" s="1"/>
  <c r="C109" i="2"/>
  <c r="L247" i="1"/>
  <c r="D12" i="13"/>
  <c r="C12" i="13" s="1"/>
  <c r="D6" i="13"/>
  <c r="C6" i="13" s="1"/>
  <c r="D14" i="13"/>
  <c r="C14" i="13" s="1"/>
  <c r="D7" i="13"/>
  <c r="C7" i="13" s="1"/>
  <c r="C16" i="10"/>
  <c r="L229" i="1"/>
  <c r="C18" i="10"/>
  <c r="F257" i="1"/>
  <c r="F271" i="1" s="1"/>
  <c r="H257" i="1"/>
  <c r="H271" i="1" s="1"/>
  <c r="C10" i="10"/>
  <c r="C121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L545" i="1" l="1"/>
  <c r="K552" i="1"/>
  <c r="E128" i="2"/>
  <c r="C104" i="2"/>
  <c r="G635" i="1"/>
  <c r="J635" i="1" s="1"/>
  <c r="I661" i="1"/>
  <c r="L338" i="1"/>
  <c r="L352" i="1" s="1"/>
  <c r="G633" i="1" s="1"/>
  <c r="J633" i="1" s="1"/>
  <c r="H660" i="1"/>
  <c r="H664" i="1" s="1"/>
  <c r="H672" i="1" s="1"/>
  <c r="C6" i="10" s="1"/>
  <c r="G660" i="1"/>
  <c r="G664" i="1" s="1"/>
  <c r="G672" i="1" s="1"/>
  <c r="C5" i="10" s="1"/>
  <c r="F660" i="1"/>
  <c r="F664" i="1" s="1"/>
  <c r="C115" i="2"/>
  <c r="E51" i="2"/>
  <c r="D31" i="13"/>
  <c r="C31" i="13" s="1"/>
  <c r="E33" i="13"/>
  <c r="D35" i="13" s="1"/>
  <c r="D51" i="2"/>
  <c r="G51" i="2"/>
  <c r="E104" i="2"/>
  <c r="G104" i="2"/>
  <c r="E145" i="2"/>
  <c r="F104" i="2"/>
  <c r="D104" i="2"/>
  <c r="C128" i="2"/>
  <c r="H646" i="1"/>
  <c r="C28" i="10"/>
  <c r="D22" i="10" s="1"/>
  <c r="L257" i="1"/>
  <c r="L271" i="1" s="1"/>
  <c r="G632" i="1" s="1"/>
  <c r="J63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G667" i="1"/>
  <c r="D33" i="13"/>
  <c r="D36" i="13" s="1"/>
  <c r="C145" i="2"/>
  <c r="H667" i="1"/>
  <c r="D20" i="10"/>
  <c r="D15" i="10"/>
  <c r="D13" i="10"/>
  <c r="D27" i="10"/>
  <c r="D18" i="10"/>
  <c r="D17" i="10"/>
  <c r="D12" i="10"/>
  <c r="D24" i="10"/>
  <c r="D10" i="10"/>
  <c r="D26" i="10"/>
  <c r="C30" i="10"/>
  <c r="D16" i="10"/>
  <c r="D23" i="10"/>
  <c r="D25" i="10"/>
  <c r="D19" i="10"/>
  <c r="D11" i="10"/>
  <c r="D21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<sst xmlns="http://schemas.openxmlformats.org/spreadsheetml/2006/main" count="3959" uniqueCount="916">
  <si>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</si>
  <si>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</si>
  <si>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</si>
  <si>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</si>
  <si>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</si>
  <si>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</si>
  <si>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</si>
  <si>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</si>
  <si>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</si>
  <si>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</si>
  <si>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</si>
  <si>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</si>
  <si>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</si>
  <si>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</si>
  <si>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</si>
  <si>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</si>
  <si>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</si>
  <si>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</si>
  <si>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</si>
  <si>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</si>
  <si>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</si>
  <si>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</si>
  <si>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</si>
  <si>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</si>
  <si>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</si>
  <si>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</si>
  <si>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</si>
  <si>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</si>
  <si>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</si>
  <si>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</si>
  <si>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</si>
  <si>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</si>
  <si>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</si>
  <si>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</si>
  <si>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</si>
  <si>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</si>
  <si>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</si>
  <si>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</si>
  <si>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</si>
  <si>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</si>
  <si>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</si>
  <si>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</si>
  <si>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</si>
  <si>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</si>
  <si>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</si>
  <si>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</si>
  <si>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</si>
  <si>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</si>
  <si>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</si>
  <si>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</si>
  <si>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</si>
  <si>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</si>
  <si>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</si>
  <si>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</si>
  <si>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</si>
  <si>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</si>
  <si>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</si>
  <si>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</si>
  <si>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</si>
  <si>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</si>
  <si>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</si>
  <si>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</si>
  <si>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</si>
  <si>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</si>
  <si>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</si>
  <si>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</si>
  <si>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</si>
  <si>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</si>
  <si>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</si>
  <si>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</si>
  <si>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</si>
  <si>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</si>
  <si>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</si>
  <si>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</si>
  <si>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</si>
  <si>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</si>
  <si>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</si>
  <si>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</si>
  <si>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</si>
  <si>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</si>
  <si>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</si>
  <si>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</si>
  <si>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</si>
  <si>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</si>
  <si>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</si>
  <si>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</si>
  <si>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</si>
  <si>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</si>
  <si>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</si>
  <si>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</si>
  <si>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</si>
  <si>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</si>
  <si>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</si>
  <si>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</si>
  <si>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</si>
  <si>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</si>
  <si>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</si>
  <si>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</si>
  <si>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</si>
  <si>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</si>
  <si>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</si>
  <si>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</si>
  <si>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</si>
  <si>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</si>
  <si>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</si>
  <si>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</si>
  <si>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</si>
  <si>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</si>
  <si>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</si>
  <si>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</si>
  <si>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</si>
  <si>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</si>
  <si>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</si>
  <si>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</si>
  <si>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</si>
  <si>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</si>
  <si>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</si>
  <si>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</si>
  <si>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</si>
  <si>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</si>
  <si>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</si>
  <si>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</si>
  <si>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</si>
  <si>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</si>
  <si>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</si>
  <si>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</si>
  <si>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</si>
  <si>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</si>
  <si>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</si>
  <si>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</si>
  <si>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</si>
  <si>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</si>
  <si>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</si>
  <si>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</si>
  <si>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</si>
  <si>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</si>
  <si>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</si>
  <si>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</si>
  <si>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</si>
  <si>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</si>
  <si>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</si>
  <si>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</si>
  <si>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</si>
  <si>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</si>
  <si>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</si>
  <si>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</si>
  <si>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</si>
  <si>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</si>
  <si>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</si>
  <si>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</si>
  <si>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</si>
  <si>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</si>
  <si>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</si>
  <si>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</si>
  <si>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</si>
  <si>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</si>
  <si>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</si>
  <si>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</si>
  <si>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</si>
  <si>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</si>
  <si>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</si>
  <si>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</si>
  <si>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</si>
  <si>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</si>
  <si>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</si>
  <si>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</si>
  <si>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</si>
  <si>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</si>
  <si>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</si>
  <si>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</si>
  <si>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</si>
  <si>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</si>
  <si>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</si>
  <si>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</si>
  <si>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</si>
  <si>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</si>
  <si>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</si>
  <si>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</si>
  <si>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</si>
  <si>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</si>
  <si>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</si>
  <si>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</si>
  <si>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</si>
  <si>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</si>
  <si>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</si>
  <si>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</si>
  <si>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</si>
  <si>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</si>
  <si>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</si>
  <si>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</si>
  <si>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</si>
  <si>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</si>
  <si>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</si>
  <si>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</si>
  <si>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</si>
  <si>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</si>
  <si>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</si>
  <si>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</si>
  <si>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</si>
  <si>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</si>
  <si>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</si>
  <si>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</si>
  <si>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</si>
  <si>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</si>
  <si>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</si>
  <si>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</si>
  <si>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</si>
  <si>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</si>
  <si>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</si>
  <si>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</si>
  <si>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</si>
  <si>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</si>
  <si>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</si>
  <si>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</si>
  <si>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</si>
  <si>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</si>
  <si>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</si>
  <si>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</si>
  <si>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</si>
  <si>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</si>
  <si>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</si>
  <si>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</si>
  <si>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</si>
  <si>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</si>
  <si>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</si>
  <si>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</si>
  <si>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</si>
  <si>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</si>
  <si>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</si>
  <si>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</si>
  <si>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</si>
  <si>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</si>
  <si>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</si>
  <si>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</si>
  <si>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</si>
  <si>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</si>
  <si>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</si>
  <si>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</si>
  <si>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</si>
  <si>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</si>
  <si>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</si>
  <si>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</si>
  <si>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</si>
  <si>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</si>
  <si>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</si>
  <si>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</si>
  <si>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</si>
  <si>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</si>
  <si>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</si>
  <si>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</si>
  <si>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</si>
  <si>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</si>
  <si>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</si>
  <si>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</si>
  <si>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</si>
  <si>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</si>
  <si>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</si>
  <si>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</si>
  <si>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</si>
  <si>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</si>
  <si>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</si>
  <si>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</si>
  <si>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</si>
  <si>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</si>
  <si>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</si>
  <si>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</si>
  <si>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</si>
  <si>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</si>
  <si>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</si>
  <si>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</si>
  <si>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</si>
  <si>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</si>
  <si>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</si>
  <si>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</si>
  <si>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</si>
  <si>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</si>
  <si>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</si>
  <si>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</si>
  <si>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</si>
  <si>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</si>
  <si>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</si>
  <si>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</si>
  <si>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</si>
  <si>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</si>
  <si>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</si>
  <si>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</si>
  <si>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</si>
  <si>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</si>
  <si>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</si>
  <si>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</si>
  <si>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</si>
  <si>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</si>
  <si>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</si>
  <si>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</si>
  <si>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</si>
  <si>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</si>
  <si>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</si>
  <si>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</si>
  <si>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</si>
  <si>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</si>
  <si>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</si>
  <si>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</si>
  <si>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</si>
  <si>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</si>
  <si>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</si>
  <si>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</si>
  <si>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</si>
  <si>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</si>
  <si>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</si>
  <si>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</si>
  <si>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</si>
  <si>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</si>
  <si>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</si>
  <si>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</si>
  <si>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</si>
  <si>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</si>
  <si>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</si>
  <si>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</si>
  <si>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</si>
  <si>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</si>
  <si>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</si>
  <si>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</si>
  <si>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</si>
  <si>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</si>
  <si>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</si>
  <si>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</si>
  <si>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</si>
  <si>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</si>
  <si>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</si>
  <si>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</si>
  <si>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</si>
  <si>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</si>
  <si>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</si>
  <si>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</si>
  <si>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</si>
  <si>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</si>
  <si>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</si>
  <si>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</si>
  <si>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</si>
  <si>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</si>
  <si>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</si>
  <si>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</si>
  <si>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</si>
  <si>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</si>
  <si>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</si>
  <si>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</si>
  <si>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</si>
  <si>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</si>
  <si>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</si>
  <si>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</si>
  <si>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</si>
  <si>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</si>
  <si>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</si>
  <si>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</si>
  <si>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</si>
  <si>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</si>
  <si>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</si>
  <si>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</si>
  <si>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</si>
  <si>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</si>
  <si>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</si>
  <si>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</si>
  <si>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</si>
  <si>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</si>
  <si>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</si>
  <si>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</si>
  <si>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</si>
  <si>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</si>
  <si>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</si>
  <si>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</si>
  <si>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</si>
  <si>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</si>
  <si>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</si>
  <si>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</si>
  <si>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</si>
  <si>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</si>
  <si>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</si>
  <si>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</si>
  <si>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</si>
  <si>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</si>
  <si>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</si>
  <si>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</si>
  <si>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</si>
  <si>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</si>
  <si>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</si>
  <si>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</si>
  <si>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</si>
  <si>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</si>
  <si>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</si>
  <si>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</si>
  <si>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</si>
  <si>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</si>
  <si>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</si>
  <si>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</si>
  <si>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</si>
  <si>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</si>
  <si>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</si>
  <si>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</si>
  <si>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</si>
  <si>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</si>
  <si>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</si>
  <si>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</si>
  <si>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</si>
  <si>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</si>
  <si>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</si>
  <si>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</si>
  <si>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</si>
  <si>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</si>
  <si>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</si>
  <si>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</si>
  <si>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</si>
  <si>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</si>
  <si>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</si>
  <si>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</si>
  <si>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</si>
  <si>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</si>
  <si>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</si>
  <si>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</si>
  <si>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</si>
  <si>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</si>
  <si>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</si>
  <si>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</si>
  <si>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</si>
  <si>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</si>
  <si>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</si>
  <si>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</si>
  <si>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</si>
  <si>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</si>
  <si>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</si>
  <si>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</si>
  <si>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</si>
  <si>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</si>
  <si>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</si>
  <si>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</si>
  <si>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</si>
  <si>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</si>
  <si>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</si>
  <si>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</si>
  <si>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</si>
  <si>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</si>
  <si>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</si>
  <si>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</si>
  <si>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</si>
  <si>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</si>
  <si>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</si>
  <si>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</si>
  <si>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</si>
  <si>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</si>
  <si>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</si>
  <si>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</si>
  <si>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</si>
  <si>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</si>
  <si>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</si>
  <si>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</si>
  <si>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</si>
  <si>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</si>
  <si>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</si>
  <si>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</si>
  <si>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</si>
  <si>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</si>
  <si>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</si>
  <si>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</si>
  <si>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</si>
  <si>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</si>
  <si>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</si>
  <si>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</si>
  <si>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</si>
  <si>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</si>
  <si>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</si>
  <si>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</si>
  <si>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</si>
  <si>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</si>
  <si>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</si>
  <si>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</si>
  <si>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</si>
  <si>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</si>
  <si>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</si>
  <si>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</si>
  <si>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</si>
  <si>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</si>
  <si>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</si>
  <si>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</si>
  <si>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</si>
  <si>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</si>
  <si>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</si>
  <si>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</si>
  <si>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</si>
  <si>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</si>
  <si>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</si>
  <si>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</si>
  <si>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</si>
  <si>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</si>
  <si>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</si>
  <si>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</si>
  <si>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</si>
  <si>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</si>
  <si>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</si>
  <si>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</si>
  <si>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</si>
  <si>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</si>
  <si>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</si>
  <si>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</si>
  <si>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</si>
  <si>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</si>
  <si>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</si>
  <si>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</si>
  <si>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</si>
  <si>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</si>
  <si>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</si>
  <si>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</si>
  <si>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</si>
  <si>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</si>
  <si>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</si>
  <si>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</si>
  <si>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</si>
  <si>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</si>
  <si>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</si>
  <si>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</si>
  <si>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</si>
  <si>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</si>
  <si>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</si>
  <si>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</si>
  <si>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</si>
  <si>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</si>
  <si>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</si>
  <si>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</si>
  <si>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</si>
  <si>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</si>
  <si>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</si>
  <si>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</si>
  <si>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</si>
  <si>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</si>
  <si>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</si>
  <si>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</si>
  <si>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</si>
  <si>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</si>
  <si>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</si>
  <si>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</si>
  <si>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</si>
  <si>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</si>
  <si>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</si>
  <si>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</si>
  <si>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</si>
  <si>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</si>
  <si>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</si>
  <si>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</si>
  <si>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</si>
  <si>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</si>
  <si>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</si>
  <si>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</si>
  <si>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</si>
  <si>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</si>
  <si>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</si>
  <si>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</si>
  <si>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</si>
  <si>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</si>
  <si>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</si>
  <si>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</si>
  <si>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</si>
  <si>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</si>
  <si>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</si>
  <si>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</si>
  <si>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</si>
  <si>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</si>
  <si>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</si>
  <si>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</si>
  <si>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</si>
  <si>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</si>
  <si>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</si>
  <si>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</si>
  <si>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</si>
  <si>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</si>
  <si>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</si>
  <si>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</si>
  <si>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</si>
  <si>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</si>
  <si>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</si>
  <si>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</si>
  <si>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</si>
  <si>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</si>
  <si>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</si>
  <si>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</si>
  <si>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</si>
  <si>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</si>
  <si>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</si>
  <si>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</si>
  <si>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</si>
  <si>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</si>
  <si>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</si>
  <si>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</si>
  <si>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</si>
  <si>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</si>
  <si>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</si>
  <si>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</si>
  <si>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</si>
  <si>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</si>
  <si>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</si>
  <si>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</si>
  <si>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</si>
  <si>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</si>
  <si>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</si>
  <si>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</si>
  <si>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</si>
  <si>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</si>
  <si>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</si>
  <si>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</si>
  <si>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</si>
  <si>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</si>
  <si>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</si>
  <si>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</si>
  <si>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</si>
  <si>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</si>
  <si>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</si>
  <si>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</si>
  <si>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</si>
  <si>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</si>
  <si>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</si>
  <si>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</si>
  <si>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</si>
  <si>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</si>
  <si>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</si>
  <si>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</si>
  <si>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</si>
  <si>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</si>
  <si>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</si>
  <si>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</si>
  <si>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</si>
  <si>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</si>
  <si>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</si>
  <si>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</si>
  <si>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</si>
  <si>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</si>
  <si>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</si>
  <si>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</si>
  <si>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</si>
  <si>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</si>
  <si>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</si>
  <si>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</si>
  <si>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</si>
  <si>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</si>
  <si>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</si>
  <si>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</si>
  <si>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</si>
  <si>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</si>
  <si>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</si>
  <si>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</si>
  <si>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</si>
  <si>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</si>
  <si>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</si>
  <si>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</si>
  <si>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</si>
  <si>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</si>
  <si>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</si>
  <si>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</si>
  <si>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</si>
  <si>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</si>
  <si>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</si>
  <si>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</si>
  <si>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</si>
  <si>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</si>
  <si>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</si>
  <si>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</si>
  <si>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</si>
  <si>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</si>
  <si>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</si>
  <si>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</si>
  <si>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</si>
  <si>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</si>
  <si>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</si>
  <si>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</si>
  <si>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</si>
  <si>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</si>
  <si>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</si>
  <si>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</si>
  <si>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</si>
  <si>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</si>
  <si>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</si>
  <si>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</si>
  <si>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</si>
  <si>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</si>
  <si>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</si>
  <si>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</si>
  <si>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</si>
  <si>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</si>
  <si>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</si>
  <si>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</si>
  <si>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</si>
  <si>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</si>
  <si>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</si>
  <si>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</si>
  <si>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</si>
  <si>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</si>
  <si>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</si>
  <si>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</si>
  <si>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</si>
  <si>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</si>
  <si>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</si>
  <si>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</si>
  <si>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</si>
  <si>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</si>
  <si>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</si>
  <si>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</si>
  <si>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</si>
  <si>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</si>
  <si>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</si>
  <si>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</si>
  <si>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</si>
  <si>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</si>
  <si>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</si>
  <si>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</si>
  <si>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</si>
  <si>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</si>
  <si>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</si>
  <si>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</si>
  <si>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</si>
  <si>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</si>
  <si>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</si>
  <si>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</si>
  <si>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</si>
  <si>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</si>
  <si>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</si>
  <si>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</si>
  <si>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</si>
  <si>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</si>
  <si>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</si>
  <si>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</si>
  <si>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</si>
  <si>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</si>
  <si>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</si>
  <si>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</si>
  <si>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</si>
  <si>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</si>
  <si>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</si>
  <si>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</si>
  <si>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</si>
  <si>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</si>
  <si>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</si>
  <si>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</si>
  <si>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</si>
  <si>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</si>
  <si>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</si>
  <si>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</si>
  <si>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</si>
  <si>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</si>
  <si>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</si>
  <si>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</si>
  <si>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</si>
  <si>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</si>
  <si>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</si>
  <si>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</si>
  <si>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</si>
  <si>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</si>
  <si>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</si>
  <si>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</si>
  <si>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</si>
  <si>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</si>
  <si>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</si>
  <si>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</si>
  <si>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</si>
  <si>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</si>
  <si>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</si>
  <si>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</si>
  <si>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</si>
  <si>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</si>
  <si>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</si>
  <si>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</si>
  <si>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</si>
  <si>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</si>
  <si>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</si>
  <si>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</si>
  <si>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</si>
  <si>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</si>
  <si>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</si>
  <si>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</si>
  <si>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</si>
  <si>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</si>
  <si>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</si>
  <si>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</si>
  <si>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</si>
  <si>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</si>
  <si>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</si>
  <si>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</si>
  <si>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</si>
  <si>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</si>
  <si>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</si>
  <si>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</si>
  <si>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</si>
  <si>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</si>
  <si>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</si>
  <si>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</si>
  <si>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</si>
  <si>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</si>
  <si>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</si>
  <si>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</si>
  <si>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</si>
  <si>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</si>
  <si>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</si>
  <si>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</si>
  <si>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</si>
  <si>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</si>
  <si>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</si>
  <si>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</si>
  <si>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</si>
  <si>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</si>
  <si>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</si>
  <si>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</si>
  <si>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</si>
  <si>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</si>
  <si>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</si>
  <si>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</si>
  <si>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</si>
  <si>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</si>
  <si>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</si>
  <si>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</si>
  <si>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</si>
  <si>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</si>
  <si>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</si>
  <si>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</si>
  <si>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</si>
  <si>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</si>
  <si>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</si>
  <si>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</si>
  <si>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</si>
  <si>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</si>
  <si>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</si>
  <si>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</si>
  <si>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</si>
  <si>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</si>
  <si>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</si>
  <si>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</si>
  <si>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</si>
  <si>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</si>
  <si>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</si>
  <si>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</si>
  <si>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</si>
  <si>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</si>
  <si>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</si>
  <si>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</si>
  <si>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</si>
  <si>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</si>
  <si>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</si>
  <si>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</si>
  <si>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</si>
  <si>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</si>
  <si>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</si>
  <si>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</si>
  <si>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</si>
  <si>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</si>
  <si>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</si>
  <si>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</si>
  <si>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</si>
  <si>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</si>
  <si>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</si>
  <si>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</si>
  <si>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</si>
  <si>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</si>
  <si>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</si>
  <si>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</si>
  <si>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</si>
  <si>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</si>
  <si>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</si>
  <si>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</si>
  <si>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</si>
  <si>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</si>
  <si>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</si>
  <si>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</si>
  <si>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</si>
  <si>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</si>
  <si>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</si>
  <si>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</si>
  <si>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</si>
  <si>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</si>
  <si>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</si>
  <si>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</si>
  <si>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</si>
  <si>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</si>
  <si>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</si>
  <si>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</si>
  <si>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</si>
  <si>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</si>
  <si>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</si>
  <si>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</si>
  <si>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</si>
  <si>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</si>
  <si>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</si>
  <si>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</si>
  <si>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</si>
  <si>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</si>
  <si>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</si>
  <si>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</si>
  <si>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</si>
  <si>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</si>
  <si>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</si>
  <si>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</si>
  <si>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</si>
  <si>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</si>
  <si>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</si>
  <si>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</si>
  <si>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</si>
  <si>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</si>
  <si>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</si>
  <si>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</si>
  <si>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</si>
  <si>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</si>
  <si>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</si>
  <si>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</si>
  <si>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</si>
  <si>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</si>
  <si>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</si>
  <si>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</si>
  <si>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</si>
  <si>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Auditor's adjustment for the overpayment of prior year town assessment </t>
  </si>
  <si>
    <t>08/02</t>
  </si>
  <si>
    <t>08/22</t>
  </si>
  <si>
    <t>Local Government Center - Health Insurance Settlement $514,194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</si>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</sst>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191</v>
      </c>
      <c r="C2" s="21">
        <v>191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640181.39</v>
      </c>
      <c r="G9" s="18">
        <v>111036.09</v>
      </c>
      <c r="H9" s="18">
        <v>118118.66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118118.66</v>
      </c>
      <c r="G13" s="18">
        <v>12210.64</v>
      </c>
      <c r="H13" s="18"/>
      <c r="I13" s="18"/>
      <c r="J13" s="67">
        <f>SUM(I442)</f>
        <v>205708.82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1330372.6599999999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2202.89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2088672.71</v>
      </c>
      <c r="G19" s="41">
        <f>SUM(G9:G18)</f>
        <v>125449.62</v>
      </c>
      <c r="H19" s="41">
        <f>SUM(H9:H18)</f>
        <v>118118.66</v>
      </c>
      <c r="I19" s="41">
        <f>SUM(I9:I18)</f>
        <v>0</v>
      </c>
      <c r="J19" s="41">
        <f>SUM(J9:J18)</f>
        <v>205708.82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110656.01</v>
      </c>
      <c r="G23" s="18"/>
      <c r="H23" s="18">
        <v>118118.66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833566.53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17078.330000000002</v>
      </c>
      <c r="G30" s="18">
        <v>10379.35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961300.87</v>
      </c>
      <c r="G32" s="41">
        <f>SUM(G22:G31)</f>
        <v>10379.35</v>
      </c>
      <c r="H32" s="41">
        <f>SUM(H22:H31)</f>
        <v>118118.66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205708.82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115070.27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127457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999914.84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1127371.8399999999</v>
      </c>
      <c r="G51" s="41">
        <f>SUM(G35:G50)</f>
        <v>115070.27</v>
      </c>
      <c r="H51" s="41">
        <f>SUM(H35:H50)</f>
        <v>0</v>
      </c>
      <c r="I51" s="41">
        <f>SUM(I35:I50)</f>
        <v>0</v>
      </c>
      <c r="J51" s="41">
        <f>SUM(J35:J50)</f>
        <v>205708.82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2088672.71</v>
      </c>
      <c r="G52" s="41">
        <f>G51+G32</f>
        <v>125449.62000000001</v>
      </c>
      <c r="H52" s="41">
        <f>H51+H32</f>
        <v>118118.66</v>
      </c>
      <c r="I52" s="41">
        <f>I51+I32</f>
        <v>0</v>
      </c>
      <c r="J52" s="41">
        <f>J51+J32</f>
        <v>205708.82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13579458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13579458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89272.7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1800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2668882.5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2759955.2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2037.6</v>
      </c>
      <c r="G96" s="18"/>
      <c r="H96" s="18"/>
      <c r="I96" s="18"/>
      <c r="J96" s="18">
        <v>740.8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281745.78000000003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11405.5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4076.02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702812.32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716255.41999999993</v>
      </c>
      <c r="G111" s="41">
        <f>SUM(G96:G110)</f>
        <v>281745.78000000003</v>
      </c>
      <c r="H111" s="41">
        <f>SUM(H96:H110)</f>
        <v>0</v>
      </c>
      <c r="I111" s="41">
        <f>SUM(I96:I110)</f>
        <v>0</v>
      </c>
      <c r="J111" s="41">
        <f>SUM(J96:J110)</f>
        <v>4816.82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17055668.619999997</v>
      </c>
      <c r="G112" s="41">
        <f>G60+G111</f>
        <v>281745.78000000003</v>
      </c>
      <c r="H112" s="41">
        <f>H60+H79+H94+H111</f>
        <v>0</v>
      </c>
      <c r="I112" s="41">
        <f>I60+I111</f>
        <v>0</v>
      </c>
      <c r="J112" s="41">
        <f>J60+J111</f>
        <v>4816.82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674007.41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3951448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4625455.41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315593.78000000003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81286.789999999994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7693.6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5989.66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404574.17</v>
      </c>
      <c r="G136" s="41">
        <f>SUM(G123:G135)</f>
        <v>5989.66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5030029.58</v>
      </c>
      <c r="G140" s="41">
        <f>G121+SUM(G136:G137)</f>
        <v>5989.66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224890.71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180606.69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40342.28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 t="s">
        <v>287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165511.42000000001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29979.67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29979.67</v>
      </c>
      <c r="G162" s="41">
        <f>SUM(G150:G161)</f>
        <v>165511.42000000001</v>
      </c>
      <c r="H162" s="41">
        <f>SUM(H150:H161)</f>
        <v>445839.68000000005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29979.67</v>
      </c>
      <c r="G169" s="41">
        <f>G147+G162+SUM(G163:G168)</f>
        <v>165511.42000000001</v>
      </c>
      <c r="H169" s="41">
        <f>H147+H162+SUM(H163:H168)</f>
        <v>445839.68000000005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22115677.869999997</v>
      </c>
      <c r="G193" s="47">
        <f>G112+G140+G169+G192</f>
        <v>453246.86</v>
      </c>
      <c r="H193" s="47">
        <f>H112+H140+H169+H192</f>
        <v>445839.68000000005</v>
      </c>
      <c r="I193" s="47">
        <f>I112+I140+I169+I192</f>
        <v>0</v>
      </c>
      <c r="J193" s="47">
        <f>J112+J140+J192</f>
        <v>4816.82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1569304.75</v>
      </c>
      <c r="G197" s="18">
        <v>1008725.35</v>
      </c>
      <c r="H197" s="18">
        <v>16351.26</v>
      </c>
      <c r="I197" s="18">
        <v>46812.41</v>
      </c>
      <c r="J197" s="18">
        <v>2754.21</v>
      </c>
      <c r="K197" s="18"/>
      <c r="L197" s="19">
        <f>SUM(F197:K197)</f>
        <v>2643947.98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711407.26</v>
      </c>
      <c r="G198" s="18">
        <v>730576.28</v>
      </c>
      <c r="H198" s="18">
        <v>308437.62</v>
      </c>
      <c r="I198" s="18">
        <v>1213.6099999999999</v>
      </c>
      <c r="J198" s="18">
        <v>2822.66</v>
      </c>
      <c r="K198" s="18"/>
      <c r="L198" s="19">
        <f>SUM(F198:K198)</f>
        <v>1754457.4300000002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79771.360000000001</v>
      </c>
      <c r="G200" s="18">
        <v>24304.21</v>
      </c>
      <c r="H200" s="18">
        <v>3300</v>
      </c>
      <c r="I200" s="18">
        <v>13981.24</v>
      </c>
      <c r="J200" s="18"/>
      <c r="K200" s="18"/>
      <c r="L200" s="19">
        <f>SUM(F200:K200)</f>
        <v>121356.81000000001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88209.56</v>
      </c>
      <c r="G202" s="18">
        <v>53470.93</v>
      </c>
      <c r="H202" s="18">
        <v>101492</v>
      </c>
      <c r="I202" s="18">
        <v>2121.33</v>
      </c>
      <c r="J202" s="18"/>
      <c r="K202" s="18"/>
      <c r="L202" s="19">
        <f t="shared" ref="L202:L208" si="0">SUM(F202:K202)</f>
        <v>245293.81999999998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122535.95</v>
      </c>
      <c r="G203" s="18">
        <v>76229.95</v>
      </c>
      <c r="H203" s="18">
        <v>42330.18</v>
      </c>
      <c r="I203" s="18">
        <v>42232.47</v>
      </c>
      <c r="J203" s="18">
        <v>18755.099999999999</v>
      </c>
      <c r="K203" s="18"/>
      <c r="L203" s="19">
        <f t="shared" si="0"/>
        <v>302083.64999999997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50324.53</v>
      </c>
      <c r="G204" s="18">
        <v>21818.89</v>
      </c>
      <c r="H204" s="18">
        <v>12337.9</v>
      </c>
      <c r="I204" s="18"/>
      <c r="J204" s="18"/>
      <c r="K204" s="18">
        <v>3998.64</v>
      </c>
      <c r="L204" s="19">
        <f t="shared" si="0"/>
        <v>88479.959999999992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206165.54</v>
      </c>
      <c r="G205" s="18">
        <v>87125.97</v>
      </c>
      <c r="H205" s="18">
        <v>16546.86</v>
      </c>
      <c r="I205" s="18">
        <v>1157.52</v>
      </c>
      <c r="J205" s="18"/>
      <c r="K205" s="18">
        <v>1414.85</v>
      </c>
      <c r="L205" s="19">
        <f t="shared" si="0"/>
        <v>312410.74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55592.88</v>
      </c>
      <c r="G206" s="18">
        <v>11359.78</v>
      </c>
      <c r="H206" s="18">
        <v>35548.51</v>
      </c>
      <c r="I206" s="18">
        <v>1260.42</v>
      </c>
      <c r="J206" s="18"/>
      <c r="K206" s="18">
        <v>1150.33</v>
      </c>
      <c r="L206" s="19">
        <f t="shared" si="0"/>
        <v>104911.92000000001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194146.33</v>
      </c>
      <c r="G207" s="18">
        <v>151614.01</v>
      </c>
      <c r="H207" s="18">
        <v>300804.90999999997</v>
      </c>
      <c r="I207" s="18">
        <v>205190.67</v>
      </c>
      <c r="J207" s="18">
        <v>1569.95</v>
      </c>
      <c r="K207" s="18"/>
      <c r="L207" s="19">
        <f t="shared" si="0"/>
        <v>853325.87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160944.12</v>
      </c>
      <c r="I208" s="18"/>
      <c r="J208" s="18"/>
      <c r="K208" s="18"/>
      <c r="L208" s="19">
        <f t="shared" si="0"/>
        <v>160944.12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3077458.1599999997</v>
      </c>
      <c r="G211" s="41">
        <f>SUM(G197:G210)</f>
        <v>2165225.3699999996</v>
      </c>
      <c r="H211" s="41">
        <f t="shared" si="1"/>
        <v>998093.36</v>
      </c>
      <c r="I211" s="41">
        <f t="shared" si="1"/>
        <v>313969.67000000004</v>
      </c>
      <c r="J211" s="41">
        <f t="shared" si="1"/>
        <v>25901.919999999998</v>
      </c>
      <c r="K211" s="41">
        <f t="shared" si="1"/>
        <v>6563.82</v>
      </c>
      <c r="L211" s="41">
        <f t="shared" si="1"/>
        <v>6587212.3000000007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1548187.49</v>
      </c>
      <c r="G215" s="18">
        <v>908221.9</v>
      </c>
      <c r="H215" s="18">
        <v>15490.23</v>
      </c>
      <c r="I215" s="18">
        <v>50784.13</v>
      </c>
      <c r="J215" s="18">
        <v>6952.96</v>
      </c>
      <c r="K215" s="18"/>
      <c r="L215" s="19">
        <f>SUM(F215:K215)</f>
        <v>2529636.71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499825.85</v>
      </c>
      <c r="G216" s="18">
        <v>513491.36</v>
      </c>
      <c r="H216" s="18">
        <v>92942.36</v>
      </c>
      <c r="I216" s="18">
        <v>372.56</v>
      </c>
      <c r="J216" s="18">
        <v>1731.39</v>
      </c>
      <c r="K216" s="18"/>
      <c r="L216" s="19">
        <f>SUM(F216:K216)</f>
        <v>1108363.52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44493.5</v>
      </c>
      <c r="G218" s="18">
        <v>11379.2</v>
      </c>
      <c r="H218" s="18">
        <v>25228.46</v>
      </c>
      <c r="I218" s="18">
        <v>8022.3</v>
      </c>
      <c r="J218" s="18">
        <v>500</v>
      </c>
      <c r="K218" s="18"/>
      <c r="L218" s="19">
        <f>SUM(F218:K218)</f>
        <v>89623.46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131758.15</v>
      </c>
      <c r="G220" s="18">
        <v>77642.789999999994</v>
      </c>
      <c r="H220" s="18">
        <v>85800.13</v>
      </c>
      <c r="I220" s="18">
        <v>1076.79</v>
      </c>
      <c r="J220" s="18"/>
      <c r="K220" s="18"/>
      <c r="L220" s="19">
        <f t="shared" ref="L220:L226" si="2">SUM(F220:K220)</f>
        <v>296277.86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120976.69</v>
      </c>
      <c r="G221" s="18">
        <v>82979.45</v>
      </c>
      <c r="H221" s="18">
        <v>36939.94</v>
      </c>
      <c r="I221" s="18">
        <v>48251.199999999997</v>
      </c>
      <c r="J221" s="18">
        <v>22933.22</v>
      </c>
      <c r="K221" s="18"/>
      <c r="L221" s="19">
        <f t="shared" si="2"/>
        <v>312080.5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47077.79</v>
      </c>
      <c r="G222" s="18">
        <v>21818.89</v>
      </c>
      <c r="H222" s="18">
        <v>11541.88</v>
      </c>
      <c r="I222" s="18"/>
      <c r="J222" s="18"/>
      <c r="K222" s="18">
        <v>3740.66</v>
      </c>
      <c r="L222" s="19">
        <f t="shared" si="2"/>
        <v>84179.22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318979.5</v>
      </c>
      <c r="G223" s="18">
        <v>122726.48</v>
      </c>
      <c r="H223" s="18">
        <v>18391.66</v>
      </c>
      <c r="I223" s="18"/>
      <c r="J223" s="18"/>
      <c r="K223" s="18">
        <v>2974.04</v>
      </c>
      <c r="L223" s="19">
        <f t="shared" si="2"/>
        <v>463071.67999999993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52006.239999999998</v>
      </c>
      <c r="G224" s="18">
        <v>11359.78</v>
      </c>
      <c r="H224" s="18">
        <v>33255.07</v>
      </c>
      <c r="I224" s="18">
        <v>1179.0999999999999</v>
      </c>
      <c r="J224" s="18"/>
      <c r="K224" s="18">
        <v>1076.1199999999999</v>
      </c>
      <c r="L224" s="19">
        <f t="shared" si="2"/>
        <v>98876.31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182223</v>
      </c>
      <c r="G225" s="18">
        <v>111197.01</v>
      </c>
      <c r="H225" s="18">
        <v>62068.639999999999</v>
      </c>
      <c r="I225" s="18">
        <v>251979.4</v>
      </c>
      <c r="J225" s="18">
        <v>1047.02</v>
      </c>
      <c r="K225" s="18"/>
      <c r="L225" s="19">
        <f t="shared" si="2"/>
        <v>608515.07000000007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151640.16</v>
      </c>
      <c r="I226" s="18"/>
      <c r="J226" s="18"/>
      <c r="K226" s="18"/>
      <c r="L226" s="19">
        <f t="shared" si="2"/>
        <v>151640.16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2945528.21</v>
      </c>
      <c r="G229" s="41">
        <f>SUM(G197:G228)</f>
        <v>6191267.6000000006</v>
      </c>
      <c r="H229" s="41">
        <f>SUM(H215:H228)</f>
        <v>533298.53</v>
      </c>
      <c r="I229" s="41">
        <f>SUM(I215:I228)</f>
        <v>361665.48</v>
      </c>
      <c r="J229" s="41">
        <f>SUM(J215:J228)</f>
        <v>33164.589999999997</v>
      </c>
      <c r="K229" s="41">
        <f t="shared" si="3"/>
        <v>7790.82</v>
      </c>
      <c r="L229" s="41">
        <f t="shared" si="3"/>
        <v>5742264.4899999993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2609210.98</v>
      </c>
      <c r="G233" s="18">
        <v>1360010.47</v>
      </c>
      <c r="H233" s="18">
        <v>28987.77</v>
      </c>
      <c r="I233" s="18">
        <v>94957.74</v>
      </c>
      <c r="J233" s="18">
        <v>28205.99</v>
      </c>
      <c r="K233" s="18"/>
      <c r="L233" s="19">
        <f>SUM(F233:K233)</f>
        <v>4121372.9500000007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457418.73</v>
      </c>
      <c r="G234" s="18">
        <v>313184.15999999997</v>
      </c>
      <c r="H234" s="18">
        <v>608022.68999999994</v>
      </c>
      <c r="I234" s="18">
        <v>538.07000000000005</v>
      </c>
      <c r="J234" s="18">
        <v>393.95</v>
      </c>
      <c r="K234" s="18"/>
      <c r="L234" s="19">
        <f>SUM(F234:K234)</f>
        <v>1379557.5999999999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244096.67</v>
      </c>
      <c r="I235" s="18"/>
      <c r="J235" s="18"/>
      <c r="K235" s="18"/>
      <c r="L235" s="19">
        <f>SUM(F235:K235)</f>
        <v>244096.67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128402</v>
      </c>
      <c r="G236" s="18">
        <v>71702.5</v>
      </c>
      <c r="H236" s="18">
        <v>82655</v>
      </c>
      <c r="I236" s="18">
        <v>43101.599999999999</v>
      </c>
      <c r="J236" s="18">
        <v>974</v>
      </c>
      <c r="K236" s="18"/>
      <c r="L236" s="19">
        <f>SUM(F236:K236)</f>
        <v>326835.09999999998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294646.67</v>
      </c>
      <c r="G238" s="18">
        <v>135433.94</v>
      </c>
      <c r="H238" s="18">
        <v>86219.5</v>
      </c>
      <c r="I238" s="18">
        <v>4385.45</v>
      </c>
      <c r="J238" s="18">
        <v>387.87</v>
      </c>
      <c r="K238" s="18"/>
      <c r="L238" s="19">
        <f t="shared" ref="L238:L244" si="4">SUM(F238:K238)</f>
        <v>521073.43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138444.1</v>
      </c>
      <c r="G239" s="18">
        <v>27027.45</v>
      </c>
      <c r="H239" s="18">
        <v>46284.42</v>
      </c>
      <c r="I239" s="18">
        <v>56955.05</v>
      </c>
      <c r="J239" s="18">
        <v>49970.54</v>
      </c>
      <c r="K239" s="18"/>
      <c r="L239" s="19">
        <f t="shared" si="4"/>
        <v>318681.56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64934.879999999997</v>
      </c>
      <c r="G240" s="18">
        <v>21818.89</v>
      </c>
      <c r="H240" s="18">
        <v>15919.85</v>
      </c>
      <c r="I240" s="18"/>
      <c r="J240" s="18"/>
      <c r="K240" s="18">
        <v>5159.53</v>
      </c>
      <c r="L240" s="19">
        <f t="shared" si="4"/>
        <v>107833.15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413480.05</v>
      </c>
      <c r="G241" s="18">
        <v>218816.36</v>
      </c>
      <c r="H241" s="18">
        <v>39573.25</v>
      </c>
      <c r="I241" s="18">
        <v>1535.14</v>
      </c>
      <c r="J241" s="18"/>
      <c r="K241" s="18">
        <v>18224</v>
      </c>
      <c r="L241" s="19">
        <f t="shared" si="4"/>
        <v>691628.79999999993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71732.75</v>
      </c>
      <c r="G242" s="18">
        <v>11359.78</v>
      </c>
      <c r="H242" s="18">
        <v>45869.07</v>
      </c>
      <c r="I242" s="18">
        <v>1626.34</v>
      </c>
      <c r="J242" s="18"/>
      <c r="K242" s="18">
        <v>1484.3</v>
      </c>
      <c r="L242" s="19">
        <f t="shared" si="4"/>
        <v>132072.24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321445.23</v>
      </c>
      <c r="G243" s="18">
        <v>202082.01</v>
      </c>
      <c r="H243" s="18">
        <v>96541.48</v>
      </c>
      <c r="I243" s="18">
        <v>341944.81</v>
      </c>
      <c r="J243" s="18">
        <v>1361.3</v>
      </c>
      <c r="K243" s="18"/>
      <c r="L243" s="19">
        <f t="shared" si="4"/>
        <v>963374.83000000007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231196.75</v>
      </c>
      <c r="I244" s="18"/>
      <c r="J244" s="18"/>
      <c r="K244" s="18"/>
      <c r="L244" s="19">
        <f t="shared" si="4"/>
        <v>231196.75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4499715.3899999997</v>
      </c>
      <c r="G247" s="41">
        <f>SUM(G215:G246)</f>
        <v>10413520.02</v>
      </c>
      <c r="H247" s="41">
        <f t="shared" si="5"/>
        <v>1525366.45</v>
      </c>
      <c r="I247" s="41">
        <f t="shared" si="5"/>
        <v>545044.20000000007</v>
      </c>
      <c r="J247" s="41">
        <f t="shared" si="5"/>
        <v>81293.650000000009</v>
      </c>
      <c r="K247" s="41">
        <f t="shared" si="5"/>
        <v>24867.829999999998</v>
      </c>
      <c r="L247" s="41">
        <f t="shared" si="5"/>
        <v>9037723.0800000001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10522701.759999998</v>
      </c>
      <c r="G257" s="41">
        <f t="shared" si="8"/>
        <v>18770012.990000002</v>
      </c>
      <c r="H257" s="41">
        <f t="shared" si="8"/>
        <v>3056758.34</v>
      </c>
      <c r="I257" s="41">
        <f t="shared" si="8"/>
        <v>1220679.3500000001</v>
      </c>
      <c r="J257" s="41">
        <f t="shared" si="8"/>
        <v>140360.16</v>
      </c>
      <c r="K257" s="41">
        <f t="shared" si="8"/>
        <v>39222.47</v>
      </c>
      <c r="L257" s="41">
        <f t="shared" si="8"/>
        <v>21367199.869999997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850000</v>
      </c>
      <c r="L260" s="19">
        <f>SUM(F260:K260)</f>
        <v>850000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347354</v>
      </c>
      <c r="L261" s="19">
        <f>SUM(F261:K261)</f>
        <v>347354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1197354</v>
      </c>
      <c r="L270" s="41">
        <f t="shared" si="9"/>
        <v>1197354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10522701.759999998</v>
      </c>
      <c r="G271" s="42">
        <f t="shared" si="11"/>
        <v>18770012.990000002</v>
      </c>
      <c r="H271" s="42">
        <f t="shared" si="11"/>
        <v>3056758.34</v>
      </c>
      <c r="I271" s="42">
        <f t="shared" si="11"/>
        <v>1220679.3500000001</v>
      </c>
      <c r="J271" s="42">
        <f t="shared" si="11"/>
        <v>140360.16</v>
      </c>
      <c r="K271" s="42">
        <f t="shared" si="11"/>
        <v>1236576.47</v>
      </c>
      <c r="L271" s="42">
        <f t="shared" si="11"/>
        <v>22564553.869999997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140021.28</v>
      </c>
      <c r="G276" s="18"/>
      <c r="H276" s="18">
        <v>2764</v>
      </c>
      <c r="I276" s="18">
        <v>2561.42</v>
      </c>
      <c r="J276" s="18"/>
      <c r="K276" s="18"/>
      <c r="L276" s="19">
        <f>SUM(F276:K276)</f>
        <v>145346.70000000001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42125.37</v>
      </c>
      <c r="G277" s="18">
        <v>9187.5400000000009</v>
      </c>
      <c r="H277" s="18"/>
      <c r="I277" s="18"/>
      <c r="J277" s="18"/>
      <c r="K277" s="18"/>
      <c r="L277" s="19">
        <f>SUM(F277:K277)</f>
        <v>51312.91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23729.34</v>
      </c>
      <c r="I281" s="18">
        <v>8468.4500000000007</v>
      </c>
      <c r="J281" s="18"/>
      <c r="K281" s="18">
        <v>476.91</v>
      </c>
      <c r="L281" s="19">
        <f t="shared" ref="L281:L287" si="12">SUM(F281:K281)</f>
        <v>32674.7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2700</v>
      </c>
      <c r="G282" s="18"/>
      <c r="H282" s="18">
        <v>12974.89</v>
      </c>
      <c r="I282" s="18">
        <v>1000</v>
      </c>
      <c r="J282" s="18">
        <v>11351.26</v>
      </c>
      <c r="K282" s="18">
        <v>930.88</v>
      </c>
      <c r="L282" s="19">
        <f t="shared" si="12"/>
        <v>28957.030000000002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6217.27</v>
      </c>
      <c r="I287" s="18"/>
      <c r="J287" s="18"/>
      <c r="K287" s="18"/>
      <c r="L287" s="19">
        <f t="shared" si="12"/>
        <v>6217.27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184846.65</v>
      </c>
      <c r="G290" s="42">
        <f t="shared" si="13"/>
        <v>9187.5400000000009</v>
      </c>
      <c r="H290" s="42">
        <f t="shared" si="13"/>
        <v>45685.5</v>
      </c>
      <c r="I290" s="42">
        <f t="shared" si="13"/>
        <v>12029.87</v>
      </c>
      <c r="J290" s="42">
        <f t="shared" si="13"/>
        <v>11351.26</v>
      </c>
      <c r="K290" s="42">
        <f t="shared" si="13"/>
        <v>1407.79</v>
      </c>
      <c r="L290" s="41">
        <f t="shared" si="13"/>
        <v>264508.61000000004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2393.13</v>
      </c>
      <c r="J295" s="18"/>
      <c r="K295" s="18"/>
      <c r="L295" s="19">
        <f>SUM(F295:K295)</f>
        <v>2393.13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42125.37</v>
      </c>
      <c r="G296" s="18">
        <v>9187.5400000000009</v>
      </c>
      <c r="H296" s="18"/>
      <c r="I296" s="18"/>
      <c r="J296" s="18"/>
      <c r="K296" s="18"/>
      <c r="L296" s="19">
        <f>SUM(F296:K296)</f>
        <v>51312.91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22729.34</v>
      </c>
      <c r="I300" s="18"/>
      <c r="J300" s="18"/>
      <c r="K300" s="18"/>
      <c r="L300" s="19">
        <f t="shared" ref="L300:L306" si="14">SUM(F300:K300)</f>
        <v>22729.34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2700</v>
      </c>
      <c r="G301" s="18"/>
      <c r="H301" s="18">
        <v>10599.34</v>
      </c>
      <c r="I301" s="18"/>
      <c r="J301" s="18"/>
      <c r="K301" s="18">
        <v>930.88</v>
      </c>
      <c r="L301" s="19">
        <f t="shared" si="14"/>
        <v>14230.22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44825.37</v>
      </c>
      <c r="G309" s="42">
        <f t="shared" si="15"/>
        <v>9187.5400000000009</v>
      </c>
      <c r="H309" s="42">
        <f t="shared" si="15"/>
        <v>33328.68</v>
      </c>
      <c r="I309" s="42">
        <f t="shared" si="15"/>
        <v>2393.13</v>
      </c>
      <c r="J309" s="42">
        <f t="shared" si="15"/>
        <v>0</v>
      </c>
      <c r="K309" s="42">
        <f t="shared" si="15"/>
        <v>930.88</v>
      </c>
      <c r="L309" s="41">
        <f t="shared" si="15"/>
        <v>90665.600000000006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2393.11</v>
      </c>
      <c r="J314" s="18"/>
      <c r="K314" s="18"/>
      <c r="L314" s="19">
        <f>SUM(F314:K314)</f>
        <v>2393.11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42125.35</v>
      </c>
      <c r="G315" s="18">
        <v>9187.5400000000009</v>
      </c>
      <c r="H315" s="18"/>
      <c r="I315" s="18"/>
      <c r="J315" s="18"/>
      <c r="K315" s="18"/>
      <c r="L315" s="19">
        <f>SUM(F315:K315)</f>
        <v>51312.89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22729.32</v>
      </c>
      <c r="I319" s="18"/>
      <c r="J319" s="18"/>
      <c r="K319" s="18"/>
      <c r="L319" s="19">
        <f t="shared" ref="L319:L325" si="16">SUM(F319:K319)</f>
        <v>22729.32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2700</v>
      </c>
      <c r="G320" s="18"/>
      <c r="H320" s="18">
        <v>10599.29</v>
      </c>
      <c r="I320" s="18"/>
      <c r="J320" s="18"/>
      <c r="K320" s="18">
        <v>930.86</v>
      </c>
      <c r="L320" s="19">
        <f t="shared" si="16"/>
        <v>14230.150000000001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44825.35</v>
      </c>
      <c r="G328" s="42">
        <f t="shared" si="17"/>
        <v>9187.5400000000009</v>
      </c>
      <c r="H328" s="42">
        <f t="shared" si="17"/>
        <v>33328.61</v>
      </c>
      <c r="I328" s="42">
        <f t="shared" si="17"/>
        <v>2393.11</v>
      </c>
      <c r="J328" s="42">
        <f t="shared" si="17"/>
        <v>0</v>
      </c>
      <c r="K328" s="42">
        <f t="shared" si="17"/>
        <v>930.86</v>
      </c>
      <c r="L328" s="41">
        <f t="shared" si="17"/>
        <v>90665.47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274497.37</v>
      </c>
      <c r="G338" s="41">
        <f t="shared" si="20"/>
        <v>27562.620000000003</v>
      </c>
      <c r="H338" s="41">
        <f t="shared" si="20"/>
        <v>112342.79</v>
      </c>
      <c r="I338" s="41">
        <f t="shared" si="20"/>
        <v>16816.11</v>
      </c>
      <c r="J338" s="41">
        <f t="shared" si="20"/>
        <v>11351.26</v>
      </c>
      <c r="K338" s="41">
        <f t="shared" si="20"/>
        <v>3269.53</v>
      </c>
      <c r="L338" s="41">
        <f t="shared" si="20"/>
        <v>445839.68000000005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274497.37</v>
      </c>
      <c r="G352" s="41">
        <f>G338</f>
        <v>27562.620000000003</v>
      </c>
      <c r="H352" s="41">
        <f>H338</f>
        <v>112342.79</v>
      </c>
      <c r="I352" s="41">
        <f>I338</f>
        <v>16816.11</v>
      </c>
      <c r="J352" s="41">
        <f>J338</f>
        <v>11351.26</v>
      </c>
      <c r="K352" s="47">
        <f>K338+K351</f>
        <v>3269.53</v>
      </c>
      <c r="L352" s="41">
        <f>L338+L351</f>
        <v>445839.68000000005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66301.820000000007</v>
      </c>
      <c r="G358" s="18">
        <v>6667.02</v>
      </c>
      <c r="H358" s="18">
        <v>1278.1500000000001</v>
      </c>
      <c r="I358" s="18">
        <v>46084.75</v>
      </c>
      <c r="J358" s="18"/>
      <c r="K358" s="18"/>
      <c r="L358" s="13">
        <f>SUM(F358:K358)</f>
        <v>120331.74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51556.05</v>
      </c>
      <c r="G359" s="18">
        <v>6667.02</v>
      </c>
      <c r="H359" s="18">
        <v>4354.12</v>
      </c>
      <c r="I359" s="18">
        <v>59832.98</v>
      </c>
      <c r="J359" s="18"/>
      <c r="K359" s="18"/>
      <c r="L359" s="19">
        <f>SUM(F359:K359)</f>
        <v>122410.17000000001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83191.45</v>
      </c>
      <c r="G360" s="18">
        <v>10476.719999999999</v>
      </c>
      <c r="H360" s="18">
        <v>7104.08</v>
      </c>
      <c r="I360" s="18">
        <v>97622.23</v>
      </c>
      <c r="J360" s="18"/>
      <c r="K360" s="18"/>
      <c r="L360" s="19">
        <f>SUM(F360:K360)</f>
        <v>198394.47999999998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201049.32</v>
      </c>
      <c r="G362" s="47">
        <f t="shared" si="22"/>
        <v>23810.760000000002</v>
      </c>
      <c r="H362" s="47">
        <f t="shared" si="22"/>
        <v>12736.35</v>
      </c>
      <c r="I362" s="47">
        <f t="shared" si="22"/>
        <v>203539.96000000002</v>
      </c>
      <c r="J362" s="47">
        <f t="shared" si="22"/>
        <v>0</v>
      </c>
      <c r="K362" s="47">
        <f t="shared" si="22"/>
        <v>0</v>
      </c>
      <c r="L362" s="47">
        <f t="shared" si="22"/>
        <v>441136.39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41313.85</v>
      </c>
      <c r="G367" s="18">
        <v>50134.54</v>
      </c>
      <c r="H367" s="18">
        <v>81798.44</v>
      </c>
      <c r="I367" s="56">
        <f>SUM(F367:H367)</f>
        <v>173246.83000000002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4770.8999999999996</v>
      </c>
      <c r="G368" s="63">
        <v>9698.44</v>
      </c>
      <c r="H368" s="63">
        <v>15823.79</v>
      </c>
      <c r="I368" s="56">
        <f>SUM(F368:H368)</f>
        <v>30293.13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46084.75</v>
      </c>
      <c r="G369" s="47">
        <f>SUM(G367:G368)</f>
        <v>59832.98</v>
      </c>
      <c r="H369" s="47">
        <f>SUM(H367:H368)</f>
        <v>97622.23000000001</v>
      </c>
      <c r="I369" s="47">
        <f>SUM(I367:I368)</f>
        <v>203539.96000000002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614.44000000000005</v>
      </c>
      <c r="I392" s="18">
        <v>4076.02</v>
      </c>
      <c r="J392" s="24" t="s">
        <v>289</v>
      </c>
      <c r="K392" s="24" t="s">
        <v>289</v>
      </c>
      <c r="L392" s="56">
        <f t="shared" si="25"/>
        <v>4690.46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614.44000000000005</v>
      </c>
      <c r="I393" s="65">
        <f>SUM(I387:I392)</f>
        <v>4076.02</v>
      </c>
      <c r="J393" s="45" t="s">
        <v>289</v>
      </c>
      <c r="K393" s="45" t="s">
        <v>289</v>
      </c>
      <c r="L393" s="47">
        <f>SUM(L387:L392)</f>
        <v>4690.46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126.36</v>
      </c>
      <c r="I397" s="18"/>
      <c r="J397" s="24" t="s">
        <v>289</v>
      </c>
      <c r="K397" s="24" t="s">
        <v>289</v>
      </c>
      <c r="L397" s="56">
        <f t="shared" si="26"/>
        <v>126.36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126.36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126.36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740.80000000000007</v>
      </c>
      <c r="I408" s="47">
        <f>I393+I401+I407</f>
        <v>4076.02</v>
      </c>
      <c r="J408" s="24" t="s">
        <v>289</v>
      </c>
      <c r="K408" s="24" t="s">
        <v>289</v>
      </c>
      <c r="L408" s="47">
        <f>L393+L401+L407</f>
        <v>4816.82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22500.14</v>
      </c>
      <c r="G442" s="18">
        <v>183208.68</v>
      </c>
      <c r="H442" s="18"/>
      <c r="I442" s="56">
        <f t="shared" si="33"/>
        <v>205708.82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22500.14</v>
      </c>
      <c r="G446" s="13">
        <f>SUM(G439:G445)</f>
        <v>183208.68</v>
      </c>
      <c r="H446" s="13">
        <f>SUM(H439:H445)</f>
        <v>0</v>
      </c>
      <c r="I446" s="13">
        <f>SUM(I439:I445)</f>
        <v>205708.82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22500.14</v>
      </c>
      <c r="G456" s="18">
        <v>183208.68</v>
      </c>
      <c r="H456" s="18"/>
      <c r="I456" s="56">
        <f t="shared" si="34"/>
        <v>205708.82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22500.14</v>
      </c>
      <c r="G460" s="83">
        <f>SUM(G454:G459)</f>
        <v>183208.68</v>
      </c>
      <c r="H460" s="83">
        <f>SUM(H454:H459)</f>
        <v>0</v>
      </c>
      <c r="I460" s="83">
        <f>SUM(I454:I459)</f>
        <v>205708.82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22500.14</v>
      </c>
      <c r="G461" s="42">
        <f>G452+G460</f>
        <v>183208.68</v>
      </c>
      <c r="H461" s="42">
        <f>H452+H460</f>
        <v>0</v>
      </c>
      <c r="I461" s="42">
        <f>I452+I460</f>
        <v>205708.82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1476894.84</v>
      </c>
      <c r="G465" s="18">
        <v>102959.8</v>
      </c>
      <c r="H465" s="18">
        <v>0</v>
      </c>
      <c r="I465" s="18"/>
      <c r="J465" s="18">
        <v>200892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22115677.870000001</v>
      </c>
      <c r="G468" s="18">
        <v>453246.86</v>
      </c>
      <c r="H468" s="18">
        <v>445839.68</v>
      </c>
      <c r="I468" s="18"/>
      <c r="J468" s="18">
        <v>4816.82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99353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22215030.870000001</v>
      </c>
      <c r="G470" s="53">
        <f>SUM(G468:G469)</f>
        <v>453246.86</v>
      </c>
      <c r="H470" s="53">
        <f>SUM(H468:H469)</f>
        <v>445839.68</v>
      </c>
      <c r="I470" s="53">
        <f>SUM(I468:I469)</f>
        <v>0</v>
      </c>
      <c r="J470" s="53">
        <f>SUM(J468:J469)</f>
        <v>4816.82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22564553.870000001</v>
      </c>
      <c r="G472" s="18">
        <v>441136.39</v>
      </c>
      <c r="H472" s="18">
        <v>445839.68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22564553.870000001</v>
      </c>
      <c r="G474" s="53">
        <f>SUM(G472:G473)</f>
        <v>441136.39</v>
      </c>
      <c r="H474" s="53">
        <f>SUM(H472:H473)</f>
        <v>445839.68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1127371.8399999999</v>
      </c>
      <c r="G476" s="53">
        <f>(G465+G470)- G474</f>
        <v>115070.27000000002</v>
      </c>
      <c r="H476" s="53">
        <f>(H465+H470)- H474</f>
        <v>0</v>
      </c>
      <c r="I476" s="53">
        <f>(I465+I470)- I474</f>
        <v>0</v>
      </c>
      <c r="J476" s="53">
        <f>(J465+J470)- J474</f>
        <v>205708.82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911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16997033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8495000</v>
      </c>
      <c r="G495" s="18"/>
      <c r="H495" s="18"/>
      <c r="I495" s="18"/>
      <c r="J495" s="18"/>
      <c r="K495" s="53">
        <f>SUM(F495:J495)</f>
        <v>8495000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850000</v>
      </c>
      <c r="G497" s="18"/>
      <c r="H497" s="18"/>
      <c r="I497" s="18"/>
      <c r="J497" s="18"/>
      <c r="K497" s="53">
        <f t="shared" si="35"/>
        <v>850000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7645000</v>
      </c>
      <c r="G498" s="204"/>
      <c r="H498" s="204"/>
      <c r="I498" s="204"/>
      <c r="J498" s="204"/>
      <c r="K498" s="205">
        <f t="shared" si="35"/>
        <v>7645000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1523695.5</v>
      </c>
      <c r="G499" s="18"/>
      <c r="H499" s="18"/>
      <c r="I499" s="18"/>
      <c r="J499" s="18"/>
      <c r="K499" s="53">
        <f t="shared" si="35"/>
        <v>1523695.5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9168695.5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9168695.5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850000</v>
      </c>
      <c r="G501" s="204"/>
      <c r="H501" s="204"/>
      <c r="I501" s="204"/>
      <c r="J501" s="204"/>
      <c r="K501" s="205">
        <f t="shared" si="35"/>
        <v>850000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311866.5</v>
      </c>
      <c r="G502" s="18"/>
      <c r="H502" s="18"/>
      <c r="I502" s="18"/>
      <c r="J502" s="18"/>
      <c r="K502" s="53">
        <f t="shared" si="35"/>
        <v>311866.5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1161866.5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1161866.5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753532.63</v>
      </c>
      <c r="G521" s="18">
        <v>739763.82</v>
      </c>
      <c r="H521" s="18">
        <v>308437.62</v>
      </c>
      <c r="I521" s="18">
        <v>1213.6099999999999</v>
      </c>
      <c r="J521" s="18">
        <v>2822.66</v>
      </c>
      <c r="K521" s="18"/>
      <c r="L521" s="88">
        <f>SUM(F521:K521)</f>
        <v>1805770.3399999999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541951.22</v>
      </c>
      <c r="G522" s="18">
        <v>522678.9</v>
      </c>
      <c r="H522" s="18">
        <v>92942.36</v>
      </c>
      <c r="I522" s="18">
        <v>372.56</v>
      </c>
      <c r="J522" s="18">
        <v>1731.39</v>
      </c>
      <c r="K522" s="18"/>
      <c r="L522" s="88">
        <f>SUM(F522:K522)</f>
        <v>1159676.4300000002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499544.08</v>
      </c>
      <c r="G523" s="18">
        <v>322371.7</v>
      </c>
      <c r="H523" s="18">
        <v>608022.68999999994</v>
      </c>
      <c r="I523" s="18">
        <v>538.07000000000005</v>
      </c>
      <c r="J523" s="18">
        <v>393.95</v>
      </c>
      <c r="K523" s="18"/>
      <c r="L523" s="88">
        <f>SUM(F523:K523)</f>
        <v>1430870.49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1795027.9300000002</v>
      </c>
      <c r="G524" s="108">
        <f t="shared" ref="G524:L524" si="36">SUM(G521:G523)</f>
        <v>1584814.42</v>
      </c>
      <c r="H524" s="108">
        <f t="shared" si="36"/>
        <v>1009402.6699999999</v>
      </c>
      <c r="I524" s="108">
        <f t="shared" si="36"/>
        <v>2124.2399999999998</v>
      </c>
      <c r="J524" s="108">
        <f t="shared" si="36"/>
        <v>4948</v>
      </c>
      <c r="K524" s="108">
        <f t="shared" si="36"/>
        <v>0</v>
      </c>
      <c r="L524" s="89">
        <f t="shared" si="36"/>
        <v>4396317.26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101492</v>
      </c>
      <c r="I526" s="18">
        <v>159</v>
      </c>
      <c r="J526" s="18"/>
      <c r="K526" s="18"/>
      <c r="L526" s="88">
        <f>SUM(F526:K526)</f>
        <v>101651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85330.5</v>
      </c>
      <c r="I527" s="18"/>
      <c r="J527" s="18"/>
      <c r="K527" s="18"/>
      <c r="L527" s="88">
        <f>SUM(F527:K527)</f>
        <v>85330.5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83377.5</v>
      </c>
      <c r="I528" s="18"/>
      <c r="J528" s="18"/>
      <c r="K528" s="18"/>
      <c r="L528" s="88">
        <f>SUM(F528:K528)</f>
        <v>83377.5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270200</v>
      </c>
      <c r="I529" s="89">
        <f t="shared" si="37"/>
        <v>159</v>
      </c>
      <c r="J529" s="89">
        <f t="shared" si="37"/>
        <v>0</v>
      </c>
      <c r="K529" s="89">
        <f t="shared" si="37"/>
        <v>0</v>
      </c>
      <c r="L529" s="89">
        <f t="shared" si="37"/>
        <v>270359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41314.080000000002</v>
      </c>
      <c r="G531" s="18">
        <v>14326.2</v>
      </c>
      <c r="H531" s="18"/>
      <c r="I531" s="18"/>
      <c r="J531" s="18"/>
      <c r="K531" s="18"/>
      <c r="L531" s="88">
        <f>SUM(F531:K531)</f>
        <v>55640.28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41314.07</v>
      </c>
      <c r="G532" s="18">
        <v>14326.2</v>
      </c>
      <c r="H532" s="18"/>
      <c r="I532" s="18"/>
      <c r="J532" s="18"/>
      <c r="K532" s="18"/>
      <c r="L532" s="88">
        <f>SUM(F532:K532)</f>
        <v>55640.270000000004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58511.1</v>
      </c>
      <c r="G533" s="18"/>
      <c r="H533" s="18"/>
      <c r="I533" s="18"/>
      <c r="J533" s="18"/>
      <c r="K533" s="18"/>
      <c r="L533" s="88">
        <f>SUM(F533:K533)</f>
        <v>58511.1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141139.25</v>
      </c>
      <c r="G534" s="89">
        <f t="shared" ref="G534:L534" si="38">SUM(G531:G533)</f>
        <v>28652.400000000001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169791.65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694.5</v>
      </c>
      <c r="I536" s="18"/>
      <c r="J536" s="18"/>
      <c r="K536" s="18"/>
      <c r="L536" s="88">
        <f>SUM(F536:K536)</f>
        <v>694.5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694.5</v>
      </c>
      <c r="I537" s="18"/>
      <c r="J537" s="18"/>
      <c r="K537" s="18"/>
      <c r="L537" s="88">
        <f>SUM(F537:K537)</f>
        <v>694.5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694.5</v>
      </c>
      <c r="I538" s="18"/>
      <c r="J538" s="18"/>
      <c r="K538" s="18"/>
      <c r="L538" s="88">
        <f>SUM(F538:K538)</f>
        <v>694.5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2083.5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2083.5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56625.14</v>
      </c>
      <c r="I541" s="18"/>
      <c r="J541" s="18"/>
      <c r="K541" s="18"/>
      <c r="L541" s="88">
        <f>SUM(F541:K541)</f>
        <v>56625.14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34423.300000000003</v>
      </c>
      <c r="I542" s="18"/>
      <c r="J542" s="18"/>
      <c r="K542" s="18"/>
      <c r="L542" s="88">
        <f>SUM(F542:K542)</f>
        <v>34423.300000000003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34423.379999999997</v>
      </c>
      <c r="I543" s="18"/>
      <c r="J543" s="18"/>
      <c r="K543" s="18"/>
      <c r="L543" s="88">
        <f>SUM(F543:K543)</f>
        <v>34423.379999999997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125471.82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125471.82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1936167.1800000002</v>
      </c>
      <c r="G545" s="89">
        <f t="shared" ref="G545:L545" si="41">G524+G529+G534+G539+G544</f>
        <v>1613466.8199999998</v>
      </c>
      <c r="H545" s="89">
        <f t="shared" si="41"/>
        <v>1407157.99</v>
      </c>
      <c r="I545" s="89">
        <f t="shared" si="41"/>
        <v>2283.2399999999998</v>
      </c>
      <c r="J545" s="89">
        <f t="shared" si="41"/>
        <v>4948</v>
      </c>
      <c r="K545" s="89">
        <f t="shared" si="41"/>
        <v>0</v>
      </c>
      <c r="L545" s="89">
        <f t="shared" si="41"/>
        <v>4964023.2300000004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1805770.3399999999</v>
      </c>
      <c r="G549" s="87">
        <f>L526</f>
        <v>101651</v>
      </c>
      <c r="H549" s="87">
        <f>L531</f>
        <v>55640.28</v>
      </c>
      <c r="I549" s="87">
        <f>L536</f>
        <v>694.5</v>
      </c>
      <c r="J549" s="87">
        <f>L541</f>
        <v>56625.14</v>
      </c>
      <c r="K549" s="87">
        <f>SUM(F549:J549)</f>
        <v>2020381.2599999998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1159676.4300000002</v>
      </c>
      <c r="G550" s="87">
        <f>L527</f>
        <v>85330.5</v>
      </c>
      <c r="H550" s="87">
        <f>L532</f>
        <v>55640.270000000004</v>
      </c>
      <c r="I550" s="87">
        <f>L537</f>
        <v>694.5</v>
      </c>
      <c r="J550" s="87">
        <f>L542</f>
        <v>34423.300000000003</v>
      </c>
      <c r="K550" s="87">
        <f>SUM(F550:J550)</f>
        <v>1335765.0000000002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1430870.49</v>
      </c>
      <c r="G551" s="87">
        <f>L528</f>
        <v>83377.5</v>
      </c>
      <c r="H551" s="87">
        <f>L533</f>
        <v>58511.1</v>
      </c>
      <c r="I551" s="87">
        <f>L538</f>
        <v>694.5</v>
      </c>
      <c r="J551" s="87">
        <f>L543</f>
        <v>34423.379999999997</v>
      </c>
      <c r="K551" s="87">
        <f>SUM(F551:J551)</f>
        <v>1607876.97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4396317.26</v>
      </c>
      <c r="G552" s="89">
        <f t="shared" si="42"/>
        <v>270359</v>
      </c>
      <c r="H552" s="89">
        <f t="shared" si="42"/>
        <v>169791.65</v>
      </c>
      <c r="I552" s="89">
        <f t="shared" si="42"/>
        <v>2083.5</v>
      </c>
      <c r="J552" s="89">
        <f t="shared" si="42"/>
        <v>125471.82</v>
      </c>
      <c r="K552" s="89">
        <f t="shared" si="42"/>
        <v>4964023.2299999995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33565.269999999997</v>
      </c>
      <c r="G583" s="18"/>
      <c r="H583" s="18">
        <v>374516.18</v>
      </c>
      <c r="I583" s="87">
        <f t="shared" si="47"/>
        <v>408081.45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244096.67</v>
      </c>
      <c r="I584" s="87">
        <f t="shared" si="47"/>
        <v>244096.67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92818.98</v>
      </c>
      <c r="I591" s="18">
        <v>97588.72</v>
      </c>
      <c r="J591" s="18">
        <v>118710.44</v>
      </c>
      <c r="K591" s="104">
        <f>SUM(H591:J591)</f>
        <v>309118.14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56625.14</v>
      </c>
      <c r="I592" s="18">
        <v>34423.300000000003</v>
      </c>
      <c r="J592" s="18">
        <v>34423.379999999997</v>
      </c>
      <c r="K592" s="104">
        <f t="shared" ref="K592:K597" si="48">SUM(H592:J592)</f>
        <v>125471.82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4"/>
      <c r="I593" s="4"/>
      <c r="J593" s="18">
        <v>15894.7</v>
      </c>
      <c r="K593" s="104">
        <f t="shared" si="48"/>
        <v>15894.7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13483.38</v>
      </c>
      <c r="J594" s="18">
        <v>53648.23</v>
      </c>
      <c r="K594" s="104">
        <f t="shared" si="48"/>
        <v>67131.61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11500</v>
      </c>
      <c r="I595" s="18">
        <v>6144.76</v>
      </c>
      <c r="J595" s="18">
        <v>8520</v>
      </c>
      <c r="K595" s="104">
        <f t="shared" si="48"/>
        <v>26164.760000000002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160944.12</v>
      </c>
      <c r="I598" s="108">
        <f>SUM(I591:I597)</f>
        <v>151640.16000000003</v>
      </c>
      <c r="J598" s="108">
        <f>SUM(J591:J597)</f>
        <v>231196.75000000003</v>
      </c>
      <c r="K598" s="108">
        <f>SUM(K591:K597)</f>
        <v>543781.03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37253.18</v>
      </c>
      <c r="I604" s="18">
        <v>33164.589999999997</v>
      </c>
      <c r="J604" s="18">
        <v>81293.649999999994</v>
      </c>
      <c r="K604" s="104">
        <f>SUM(H604:J604)</f>
        <v>151711.41999999998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37253.18</v>
      </c>
      <c r="I605" s="108">
        <f>SUM(I602:I604)</f>
        <v>33164.589999999997</v>
      </c>
      <c r="J605" s="108">
        <f>SUM(J602:J604)</f>
        <v>81293.649999999994</v>
      </c>
      <c r="K605" s="108">
        <f>SUM(K602:K604)</f>
        <v>151711.41999999998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67534.87</v>
      </c>
      <c r="G611" s="18">
        <v>10130.23</v>
      </c>
      <c r="H611" s="18"/>
      <c r="I611" s="18">
        <v>12594.24</v>
      </c>
      <c r="J611" s="18"/>
      <c r="K611" s="18"/>
      <c r="L611" s="88">
        <f>SUM(F611:K611)</f>
        <v>90259.34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20677.5</v>
      </c>
      <c r="G612" s="18">
        <v>3101.63</v>
      </c>
      <c r="H612" s="18"/>
      <c r="I612" s="18">
        <v>98.39</v>
      </c>
      <c r="J612" s="18"/>
      <c r="K612" s="18"/>
      <c r="L612" s="88">
        <f>SUM(F612:K612)</f>
        <v>23877.52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16954.669999999998</v>
      </c>
      <c r="G613" s="18">
        <v>2543.1999999999998</v>
      </c>
      <c r="H613" s="18"/>
      <c r="I613" s="18"/>
      <c r="J613" s="18"/>
      <c r="K613" s="18"/>
      <c r="L613" s="88">
        <f>SUM(F613:K613)</f>
        <v>19497.87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105167.03999999999</v>
      </c>
      <c r="G614" s="108">
        <f t="shared" si="49"/>
        <v>15775.060000000001</v>
      </c>
      <c r="H614" s="108">
        <f t="shared" si="49"/>
        <v>0</v>
      </c>
      <c r="I614" s="108">
        <f t="shared" si="49"/>
        <v>12692.63</v>
      </c>
      <c r="J614" s="108">
        <f t="shared" si="49"/>
        <v>0</v>
      </c>
      <c r="K614" s="108">
        <f t="shared" si="49"/>
        <v>0</v>
      </c>
      <c r="L614" s="89">
        <f t="shared" si="49"/>
        <v>133634.73000000001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2088672.71</v>
      </c>
      <c r="H617" s="109">
        <f>SUM(F52)</f>
        <v>2088672.71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125449.62</v>
      </c>
      <c r="H618" s="109">
        <f>SUM(G52)</f>
        <v>125449.62000000001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118118.66</v>
      </c>
      <c r="H619" s="109">
        <f>SUM(H52)</f>
        <v>118118.66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205708.82</v>
      </c>
      <c r="H621" s="109">
        <f>SUM(J52)</f>
        <v>205708.82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1127371.8399999999</v>
      </c>
      <c r="H622" s="109">
        <f>F476</f>
        <v>1127371.8399999999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115070.27</v>
      </c>
      <c r="H623" s="109">
        <f>G476</f>
        <v>115070.27000000002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205708.82</v>
      </c>
      <c r="H626" s="109">
        <f>J476</f>
        <v>205708.82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22115677.869999997</v>
      </c>
      <c r="H627" s="104">
        <f>SUM(F468)</f>
        <v>22115677.870000001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453246.86</v>
      </c>
      <c r="H628" s="104">
        <f>SUM(G468)</f>
        <v>453246.86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445839.68000000005</v>
      </c>
      <c r="H629" s="104">
        <f>SUM(H468)</f>
        <v>445839.68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4816.82</v>
      </c>
      <c r="H631" s="104">
        <f>SUM(J468)</f>
        <v>4816.82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22564553.869999997</v>
      </c>
      <c r="H632" s="104">
        <f>SUM(F472)</f>
        <v>22564553.870000001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445839.68000000005</v>
      </c>
      <c r="H633" s="104">
        <f>SUM(H472)</f>
        <v>445839.68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203539.96000000002</v>
      </c>
      <c r="H634" s="104">
        <f>I369</f>
        <v>203539.96000000002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441136.39</v>
      </c>
      <c r="H635" s="104">
        <f>SUM(G472)</f>
        <v>441136.39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4816.82</v>
      </c>
      <c r="H637" s="164">
        <f>SUM(J468)</f>
        <v>4816.82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22500.14</v>
      </c>
      <c r="H639" s="104">
        <f>SUM(F461)</f>
        <v>22500.14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183208.68</v>
      </c>
      <c r="H640" s="104">
        <f>SUM(G461)</f>
        <v>183208.68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205708.82</v>
      </c>
      <c r="H642" s="104">
        <f>SUM(I461)</f>
        <v>205708.82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740.8</v>
      </c>
      <c r="H644" s="104">
        <f>H408</f>
        <v>740.80000000000007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4816.82</v>
      </c>
      <c r="H646" s="104">
        <f>L408</f>
        <v>4816.82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543781.03</v>
      </c>
      <c r="H647" s="104">
        <f>L208+L226+L244</f>
        <v>543781.03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151711.41999999998</v>
      </c>
      <c r="H648" s="104">
        <f>(J257+J338)-(J255+J336)</f>
        <v>151711.42000000001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160944.12</v>
      </c>
      <c r="H649" s="104">
        <f>H598</f>
        <v>160944.12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151640.16</v>
      </c>
      <c r="H650" s="104">
        <f>I598</f>
        <v>151640.16000000003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231196.75</v>
      </c>
      <c r="H651" s="104">
        <f>J598</f>
        <v>231196.75000000003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6972052.6500000013</v>
      </c>
      <c r="G660" s="19">
        <f>(L229+L309+L359)</f>
        <v>5955340.2599999988</v>
      </c>
      <c r="H660" s="19">
        <f>(L247+L328+L360)</f>
        <v>9326783.0300000012</v>
      </c>
      <c r="I660" s="19">
        <f>SUM(F660:H660)</f>
        <v>22254175.940000001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76853.691315416538</v>
      </c>
      <c r="G661" s="19">
        <f>(L359/IF(SUM(L358:L360)=0,1,SUM(L358:L360))*(SUM(G97:G110)))</f>
        <v>78181.146711978596</v>
      </c>
      <c r="H661" s="19">
        <f>(L360/IF(SUM(L358:L360)=0,1,SUM(L358:L360))*(SUM(G97:G110)))</f>
        <v>126710.94197260489</v>
      </c>
      <c r="I661" s="19">
        <f>SUM(F661:H661)</f>
        <v>281745.78000000003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167161.38999999998</v>
      </c>
      <c r="G662" s="19">
        <f>(L226+L306)-(J226+J306)</f>
        <v>151640.16</v>
      </c>
      <c r="H662" s="19">
        <f>(L244+L325)-(J244+J325)</f>
        <v>231196.75</v>
      </c>
      <c r="I662" s="19">
        <f>SUM(F662:H662)</f>
        <v>549998.30000000005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161077.78999999998</v>
      </c>
      <c r="G663" s="199">
        <f>SUM(G575:G587)+SUM(I602:I604)+L612</f>
        <v>57042.11</v>
      </c>
      <c r="H663" s="199">
        <f>SUM(H575:H587)+SUM(J602:J604)+L613</f>
        <v>719404.37</v>
      </c>
      <c r="I663" s="19">
        <f>SUM(F663:H663)</f>
        <v>937524.27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6566959.7786845844</v>
      </c>
      <c r="G664" s="19">
        <f>G660-SUM(G661:G663)</f>
        <v>5668476.8432880202</v>
      </c>
      <c r="H664" s="19">
        <f>H660-SUM(H661:H663)</f>
        <v>8249470.9680273961</v>
      </c>
      <c r="I664" s="19">
        <f>I660-SUM(I661:I663)</f>
        <v>20484907.59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344.77</v>
      </c>
      <c r="G665" s="248">
        <v>339.52</v>
      </c>
      <c r="H665" s="248">
        <v>516.88</v>
      </c>
      <c r="I665" s="19">
        <f>SUM(F665:H665)</f>
        <v>1201.17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19047.36</v>
      </c>
      <c r="G667" s="19">
        <f>ROUND(G664/G665,2)</f>
        <v>16695.560000000001</v>
      </c>
      <c r="H667" s="19">
        <f>ROUND(H664/H665,2)</f>
        <v>15960.13</v>
      </c>
      <c r="I667" s="19">
        <f>ROUND(I664/I665,2)</f>
        <v>17054.13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-13.96</v>
      </c>
      <c r="I670" s="19">
        <f>SUM(F670:H670)</f>
        <v>-13.96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19047.36</v>
      </c>
      <c r="G672" s="19">
        <f>ROUND((G664+G669)/(G665+G670),2)</f>
        <v>16695.560000000001</v>
      </c>
      <c r="H672" s="19">
        <f>ROUND((H664+H669)/(H665+H670),2)</f>
        <v>16403.150000000001</v>
      </c>
      <c r="I672" s="19">
        <f>ROUND((I664+I669)/(I665+I670),2)</f>
        <v>17254.66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Gilford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5866724.5000000009</v>
      </c>
      <c r="C9" s="229">
        <f>'DOE25'!G197+'DOE25'!G197+'DOE25'!G215+'DOE25'!G276+'DOE25'!G295+'DOE25'!G314</f>
        <v>2925672.6</v>
      </c>
    </row>
    <row r="10" spans="1:3" x14ac:dyDescent="0.2">
      <c r="A10" t="s">
        <v>779</v>
      </c>
      <c r="B10" s="240">
        <v>5592642.1600000001</v>
      </c>
      <c r="C10" s="240">
        <v>2697657.91</v>
      </c>
    </row>
    <row r="11" spans="1:3" x14ac:dyDescent="0.2">
      <c r="A11" t="s">
        <v>780</v>
      </c>
      <c r="B11" s="240">
        <v>274082.34000000003</v>
      </c>
      <c r="C11" s="240">
        <v>228014.69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5866724.5</v>
      </c>
      <c r="C13" s="231">
        <f>SUM(C10:C12)</f>
        <v>2925672.6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1795027.9300000002</v>
      </c>
      <c r="C18" s="229">
        <f>'DOE25'!G198+'DOE25'!G198+'DOE25'!G216+'DOE25'!G277+'DOE25'!G296+'DOE25'!G315</f>
        <v>2002206.54</v>
      </c>
    </row>
    <row r="19" spans="1:3" x14ac:dyDescent="0.2">
      <c r="A19" t="s">
        <v>779</v>
      </c>
      <c r="B19" s="240">
        <v>863718.75</v>
      </c>
      <c r="C19" s="240">
        <v>867378.02</v>
      </c>
    </row>
    <row r="20" spans="1:3" x14ac:dyDescent="0.2">
      <c r="A20" t="s">
        <v>780</v>
      </c>
      <c r="B20" s="240">
        <v>931309.18</v>
      </c>
      <c r="C20" s="240">
        <v>1134828.52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1795027.9300000002</v>
      </c>
      <c r="C22" s="231">
        <f>SUM(C19:C21)</f>
        <v>2002206.54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'DOE25'!G199+'DOE25'!G217+'DOE25'!G217+'DOE25'!G278+'DOE25'!G297+'DOE25'!G316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252666.86</v>
      </c>
      <c r="C36" s="235">
        <f>'DOE25'!G200+'DOE25'!G200+'DOE25'!G218+'DOE25'!G279+'DOE25'!G298+'DOE25'!G317</f>
        <v>59987.619999999995</v>
      </c>
    </row>
    <row r="37" spans="1:3" x14ac:dyDescent="0.2">
      <c r="A37" t="s">
        <v>779</v>
      </c>
      <c r="B37" s="240">
        <v>26530.21</v>
      </c>
      <c r="C37" s="240">
        <v>3359.32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226136.65</v>
      </c>
      <c r="C39" s="240">
        <v>56628.3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252666.86</v>
      </c>
      <c r="C40" s="231">
        <f>SUM(C37:C39)</f>
        <v>59987.62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23" sqref="K2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Gilford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14319248.23</v>
      </c>
      <c r="D5" s="20">
        <f>SUM('DOE25'!L197:L200)+SUM('DOE25'!L215:L218)+SUM('DOE25'!L233:L236)-F5-G5</f>
        <v>14274913.07</v>
      </c>
      <c r="E5" s="243"/>
      <c r="F5" s="255">
        <f>SUM('DOE25'!J197:J200)+SUM('DOE25'!J215:J218)+SUM('DOE25'!J233:J236)</f>
        <v>44335.16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1062645.1099999999</v>
      </c>
      <c r="D6" s="20">
        <f>'DOE25'!L202+'DOE25'!L220+'DOE25'!L238-F6-G6</f>
        <v>1062257.2399999998</v>
      </c>
      <c r="E6" s="243"/>
      <c r="F6" s="255">
        <f>'DOE25'!J202+'DOE25'!J220+'DOE25'!J238</f>
        <v>387.87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932845.71</v>
      </c>
      <c r="D7" s="20">
        <f>'DOE25'!L203+'DOE25'!L221+'DOE25'!L239-F7-G7</f>
        <v>841186.85</v>
      </c>
      <c r="E7" s="243"/>
      <c r="F7" s="255">
        <f>'DOE25'!J203+'DOE25'!J221+'DOE25'!J239</f>
        <v>91658.86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98186.66999999994</v>
      </c>
      <c r="D8" s="243"/>
      <c r="E8" s="20">
        <f>'DOE25'!L204+'DOE25'!L222+'DOE25'!L240-F8-G8-D9-D11</f>
        <v>85287.839999999938</v>
      </c>
      <c r="F8" s="255">
        <f>'DOE25'!J204+'DOE25'!J222+'DOE25'!J240</f>
        <v>0</v>
      </c>
      <c r="G8" s="53">
        <f>'DOE25'!K204+'DOE25'!K222+'DOE25'!K240</f>
        <v>12898.829999999998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21668.46</v>
      </c>
      <c r="D9" s="244">
        <v>21668.46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17905</v>
      </c>
      <c r="D10" s="243"/>
      <c r="E10" s="244">
        <v>17905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160637.20000000001</v>
      </c>
      <c r="D11" s="244">
        <v>160637.20000000001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1467111.2199999997</v>
      </c>
      <c r="D12" s="20">
        <f>'DOE25'!L205+'DOE25'!L223+'DOE25'!L241-F12-G12</f>
        <v>1444498.3299999998</v>
      </c>
      <c r="E12" s="243"/>
      <c r="F12" s="255">
        <f>'DOE25'!J205+'DOE25'!J223+'DOE25'!J241</f>
        <v>0</v>
      </c>
      <c r="G12" s="53">
        <f>'DOE25'!K205+'DOE25'!K223+'DOE25'!K241</f>
        <v>22612.89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335860.47</v>
      </c>
      <c r="D13" s="243"/>
      <c r="E13" s="20">
        <f>'DOE25'!L206+'DOE25'!L224+'DOE25'!L242-F13-G13</f>
        <v>332149.71999999997</v>
      </c>
      <c r="F13" s="255">
        <f>'DOE25'!J206+'DOE25'!J224+'DOE25'!J242</f>
        <v>0</v>
      </c>
      <c r="G13" s="53">
        <f>'DOE25'!K206+'DOE25'!K224+'DOE25'!K242</f>
        <v>3710.75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2425215.77</v>
      </c>
      <c r="D14" s="20">
        <f>'DOE25'!L207+'DOE25'!L225+'DOE25'!L243-F14-G14</f>
        <v>2421237.5</v>
      </c>
      <c r="E14" s="243"/>
      <c r="F14" s="255">
        <f>'DOE25'!J207+'DOE25'!J225+'DOE25'!J243</f>
        <v>3978.2700000000004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543781.03</v>
      </c>
      <c r="D15" s="20">
        <f>'DOE25'!L208+'DOE25'!L226+'DOE25'!L244-F15-G15</f>
        <v>543781.03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1197354</v>
      </c>
      <c r="D25" s="243"/>
      <c r="E25" s="243"/>
      <c r="F25" s="258"/>
      <c r="G25" s="256"/>
      <c r="H25" s="257">
        <f>'DOE25'!L260+'DOE25'!L261+'DOE25'!L341+'DOE25'!L342</f>
        <v>1197354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267889.56</v>
      </c>
      <c r="D29" s="20">
        <f>'DOE25'!L358+'DOE25'!L359+'DOE25'!L360-'DOE25'!I367-F29-G29</f>
        <v>267889.56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445839.68000000005</v>
      </c>
      <c r="D31" s="20">
        <f>'DOE25'!L290+'DOE25'!L309+'DOE25'!L328+'DOE25'!L333+'DOE25'!L334+'DOE25'!L335-F31-G31</f>
        <v>431218.89</v>
      </c>
      <c r="E31" s="243"/>
      <c r="F31" s="255">
        <f>'DOE25'!J290+'DOE25'!J309+'DOE25'!J328+'DOE25'!J333+'DOE25'!J334+'DOE25'!J335</f>
        <v>11351.26</v>
      </c>
      <c r="G31" s="53">
        <f>'DOE25'!K290+'DOE25'!K309+'DOE25'!K328+'DOE25'!K333+'DOE25'!K334+'DOE25'!K335</f>
        <v>3269.53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21469288.129999999</v>
      </c>
      <c r="E33" s="246">
        <f>SUM(E5:E31)</f>
        <v>435342.55999999994</v>
      </c>
      <c r="F33" s="246">
        <f>SUM(F5:F31)</f>
        <v>151711.42000000001</v>
      </c>
      <c r="G33" s="246">
        <f>SUM(G5:G31)</f>
        <v>42492</v>
      </c>
      <c r="H33" s="246">
        <f>SUM(H5:H31)</f>
        <v>1197354</v>
      </c>
    </row>
    <row r="35" spans="2:8" ht="12" thickBot="1" x14ac:dyDescent="0.25">
      <c r="B35" s="253" t="s">
        <v>847</v>
      </c>
      <c r="D35" s="254">
        <f>E33</f>
        <v>435342.55999999994</v>
      </c>
      <c r="E35" s="249"/>
    </row>
    <row r="36" spans="2:8" ht="12" thickTop="1" x14ac:dyDescent="0.2">
      <c r="B36" t="s">
        <v>815</v>
      </c>
      <c r="D36" s="20">
        <f>D33</f>
        <v>21469288.129999999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640181.39</v>
      </c>
      <c r="D8" s="95">
        <f>'DOE25'!G9</f>
        <v>111036.09</v>
      </c>
      <c r="E8" s="95">
        <f>'DOE25'!H9</f>
        <v>118118.66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118118.66</v>
      </c>
      <c r="D12" s="95">
        <f>'DOE25'!G13</f>
        <v>12210.64</v>
      </c>
      <c r="E12" s="95">
        <f>'DOE25'!H13</f>
        <v>0</v>
      </c>
      <c r="F12" s="95">
        <f>'DOE25'!I13</f>
        <v>0</v>
      </c>
      <c r="G12" s="95">
        <f>'DOE25'!J13</f>
        <v>205708.82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1330372.6599999999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2202.89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2088672.71</v>
      </c>
      <c r="D18" s="41">
        <f>SUM(D8:D17)</f>
        <v>125449.62</v>
      </c>
      <c r="E18" s="41">
        <f>SUM(E8:E17)</f>
        <v>118118.66</v>
      </c>
      <c r="F18" s="41">
        <f>SUM(F8:F17)</f>
        <v>0</v>
      </c>
      <c r="G18" s="41">
        <f>SUM(G8:G17)</f>
        <v>205708.82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110656.01</v>
      </c>
      <c r="D22" s="95">
        <f>'DOE25'!G23</f>
        <v>0</v>
      </c>
      <c r="E22" s="95">
        <f>'DOE25'!H23</f>
        <v>118118.66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833566.53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17078.330000000002</v>
      </c>
      <c r="D29" s="95">
        <f>'DOE25'!G30</f>
        <v>10379.35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961300.87</v>
      </c>
      <c r="D31" s="41">
        <f>SUM(D21:D30)</f>
        <v>10379.35</v>
      </c>
      <c r="E31" s="41">
        <f>SUM(E21:E30)</f>
        <v>118118.66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205708.82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115070.27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127457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999914.84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1127371.8399999999</v>
      </c>
      <c r="D50" s="41">
        <f>SUM(D34:D49)</f>
        <v>115070.27</v>
      </c>
      <c r="E50" s="41">
        <f>SUM(E34:E49)</f>
        <v>0</v>
      </c>
      <c r="F50" s="41">
        <f>SUM(F34:F49)</f>
        <v>0</v>
      </c>
      <c r="G50" s="41">
        <f>SUM(G34:G49)</f>
        <v>205708.82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2088672.71</v>
      </c>
      <c r="D51" s="41">
        <f>D50+D31</f>
        <v>125449.62000000001</v>
      </c>
      <c r="E51" s="41">
        <f>E50+E31</f>
        <v>118118.66</v>
      </c>
      <c r="F51" s="41">
        <f>F50+F31</f>
        <v>0</v>
      </c>
      <c r="G51" s="41">
        <f>G50+G31</f>
        <v>205708.82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13579458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2759955.2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2037.6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740.8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281745.78000000003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714217.82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4076.02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3476210.62</v>
      </c>
      <c r="D62" s="130">
        <f>SUM(D57:D61)</f>
        <v>281745.78000000003</v>
      </c>
      <c r="E62" s="130">
        <f>SUM(E57:E61)</f>
        <v>0</v>
      </c>
      <c r="F62" s="130">
        <f>SUM(F57:F61)</f>
        <v>0</v>
      </c>
      <c r="G62" s="130">
        <f>SUM(G57:G61)</f>
        <v>4816.82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17055668.620000001</v>
      </c>
      <c r="D63" s="22">
        <f>D56+D62</f>
        <v>281745.78000000003</v>
      </c>
      <c r="E63" s="22">
        <f>E56+E62</f>
        <v>0</v>
      </c>
      <c r="F63" s="22">
        <f>F56+F62</f>
        <v>0</v>
      </c>
      <c r="G63" s="22">
        <f>G56+G62</f>
        <v>4816.82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674007.41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3951448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4625455.41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315593.78000000003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81286.789999999994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7693.6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5989.66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404574.17</v>
      </c>
      <c r="D78" s="130">
        <f>SUM(D72:D77)</f>
        <v>5989.66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5030029.58</v>
      </c>
      <c r="D81" s="130">
        <f>SUM(D79:D80)+D78+D70</f>
        <v>5989.66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224890.71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29979.67</v>
      </c>
      <c r="D88" s="95">
        <f>SUM('DOE25'!G153:G161)</f>
        <v>165511.42000000001</v>
      </c>
      <c r="E88" s="95">
        <f>SUM('DOE25'!H153:H161)</f>
        <v>220948.97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29979.67</v>
      </c>
      <c r="D91" s="131">
        <f>SUM(D85:D90)</f>
        <v>165511.42000000001</v>
      </c>
      <c r="E91" s="131">
        <f>SUM(E85:E90)</f>
        <v>445839.68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22115677.870000005</v>
      </c>
      <c r="D104" s="86">
        <f>D63+D81+D91+D103</f>
        <v>453246.86</v>
      </c>
      <c r="E104" s="86">
        <f>E63+E81+E91+E103</f>
        <v>445839.68</v>
      </c>
      <c r="F104" s="86">
        <f>F63+F81+F91+F103</f>
        <v>0</v>
      </c>
      <c r="G104" s="86">
        <f>G63+G81+G103</f>
        <v>4816.82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9294957.6400000006</v>
      </c>
      <c r="D109" s="24" t="s">
        <v>289</v>
      </c>
      <c r="E109" s="95">
        <f>('DOE25'!L276)+('DOE25'!L295)+('DOE25'!L314)</f>
        <v>150132.94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4242378.55</v>
      </c>
      <c r="D110" s="24" t="s">
        <v>289</v>
      </c>
      <c r="E110" s="95">
        <f>('DOE25'!L277)+('DOE25'!L296)+('DOE25'!L315)</f>
        <v>153938.71000000002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244096.67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537815.37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14319248.23</v>
      </c>
      <c r="D115" s="86">
        <f>SUM(D109:D114)</f>
        <v>0</v>
      </c>
      <c r="E115" s="86">
        <f>SUM(E109:E114)</f>
        <v>304071.65000000002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1062645.1099999999</v>
      </c>
      <c r="D118" s="24" t="s">
        <v>289</v>
      </c>
      <c r="E118" s="95">
        <f>+('DOE25'!L281)+('DOE25'!L300)+('DOE25'!L319)</f>
        <v>78133.36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932845.71</v>
      </c>
      <c r="D119" s="24" t="s">
        <v>289</v>
      </c>
      <c r="E119" s="95">
        <f>+('DOE25'!L282)+('DOE25'!L301)+('DOE25'!L320)</f>
        <v>57417.4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280492.32999999996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1467111.2199999997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335860.47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2425215.77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543781.03</v>
      </c>
      <c r="D124" s="24" t="s">
        <v>289</v>
      </c>
      <c r="E124" s="95">
        <f>+('DOE25'!L287)+('DOE25'!L306)+('DOE25'!L325)</f>
        <v>6217.27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441136.39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7047951.6399999997</v>
      </c>
      <c r="D128" s="86">
        <f>SUM(D118:D127)</f>
        <v>441136.39</v>
      </c>
      <c r="E128" s="86">
        <f>SUM(E118:E127)</f>
        <v>141768.03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347354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4690.46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126.36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-4816.82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1197354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22564553.870000001</v>
      </c>
      <c r="D145" s="86">
        <f>(D115+D128+D144)</f>
        <v>441136.39</v>
      </c>
      <c r="E145" s="86">
        <f>(E115+E128+E144)</f>
        <v>445839.68000000005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16997033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8495000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8495000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35</v>
      </c>
      <c r="B159" s="137">
        <f>'DOE25'!F498</f>
        <v>7645000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7645000</v>
      </c>
    </row>
    <row r="160" spans="1:9" x14ac:dyDescent="0.2">
      <c r="A160" s="22" t="s">
        <v>36</v>
      </c>
      <c r="B160" s="137">
        <f>'DOE25'!F499</f>
        <v>1523695.5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1523695.5</v>
      </c>
    </row>
    <row r="161" spans="1:7" x14ac:dyDescent="0.2">
      <c r="A161" s="22" t="s">
        <v>37</v>
      </c>
      <c r="B161" s="137">
        <f>'DOE25'!F500</f>
        <v>9168695.5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9168695.5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850000</v>
      </c>
    </row>
    <row r="163" spans="1:7" x14ac:dyDescent="0.2">
      <c r="A163" s="22" t="s">
        <v>39</v>
      </c>
      <c r="B163" s="137">
        <f>'DOE25'!F502</f>
        <v>311866.5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311866.5</v>
      </c>
    </row>
    <row r="164" spans="1:7" x14ac:dyDescent="0.2">
      <c r="A164" s="22" t="s">
        <v>246</v>
      </c>
      <c r="B164" s="137">
        <f>'DOE25'!F503</f>
        <v>1161866.5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1161866.5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Gilford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19047</v>
      </c>
    </row>
    <row r="5" spans="1:4" x14ac:dyDescent="0.2">
      <c r="B5" t="s">
        <v>704</v>
      </c>
      <c r="C5" s="179">
        <f>IF('DOE25'!G665+'DOE25'!G670=0,0,ROUND('DOE25'!G672,0))</f>
        <v>16696</v>
      </c>
    </row>
    <row r="6" spans="1:4" x14ac:dyDescent="0.2">
      <c r="B6" t="s">
        <v>62</v>
      </c>
      <c r="C6" s="179">
        <f>IF('DOE25'!H665+'DOE25'!H670=0,0,ROUND('DOE25'!H672,0))</f>
        <v>16403</v>
      </c>
    </row>
    <row r="7" spans="1:4" x14ac:dyDescent="0.2">
      <c r="B7" t="s">
        <v>705</v>
      </c>
      <c r="C7" s="179">
        <f>IF('DOE25'!I665+'DOE25'!I670=0,0,ROUND('DOE25'!I672,0))</f>
        <v>17255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9445091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4396317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244097</v>
      </c>
      <c r="D12" s="182">
        <f>ROUND((C12/$C$28)*100,1)</f>
        <v>1.1000000000000001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537815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1140778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990263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280492</v>
      </c>
      <c r="D17" s="182">
        <f t="shared" si="0"/>
        <v>1.3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1467111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335860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2425216</v>
      </c>
      <c r="D20" s="182">
        <f t="shared" si="0"/>
        <v>10.9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549998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347354</v>
      </c>
      <c r="D25" s="182">
        <f t="shared" si="0"/>
        <v>1.6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159390.21999999997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22319782.219999999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22319782.219999999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13579458</v>
      </c>
      <c r="D35" s="182">
        <f t="shared" ref="D35:D40" si="1">ROUND((C35/$C$41)*100,1)</f>
        <v>59.7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3481027.4399999976</v>
      </c>
      <c r="D36" s="182">
        <f t="shared" si="1"/>
        <v>15.3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4625455</v>
      </c>
      <c r="D37" s="182">
        <f t="shared" si="1"/>
        <v>20.3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410564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641331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22737835.439999998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Gilford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2014-10-15T14:14:50Z</cp:lastPrinted>
  <dcterms:created xsi:type="dcterms:W3CDTF">1997-12-04T19:04:30Z</dcterms:created>
  <dcterms:modified xsi:type="dcterms:W3CDTF">2014-12-05T16:06:19Z</dcterms:modified>
</cp:coreProperties>
</file>