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9" i="1" l="1"/>
  <c r="F465" i="1"/>
  <c r="F445" i="1"/>
  <c r="F459" i="1"/>
  <c r="H368" i="1" l="1"/>
  <c r="G368" i="1"/>
  <c r="F368" i="1"/>
  <c r="H226" i="1"/>
  <c r="G9" i="1" l="1"/>
  <c r="J591" i="1" l="1"/>
  <c r="J592" i="1"/>
  <c r="I592" i="1"/>
  <c r="H592" i="1"/>
  <c r="H543" i="1"/>
  <c r="K523" i="1" l="1"/>
  <c r="J523" i="1"/>
  <c r="I523" i="1"/>
  <c r="H523" i="1"/>
  <c r="G523" i="1"/>
  <c r="K522" i="1"/>
  <c r="J522" i="1"/>
  <c r="I522" i="1"/>
  <c r="H522" i="1"/>
  <c r="G522" i="1"/>
  <c r="F523" i="1"/>
  <c r="F522" i="1"/>
  <c r="K521" i="1"/>
  <c r="J521" i="1"/>
  <c r="I521" i="1"/>
  <c r="H521" i="1"/>
  <c r="G521" i="1"/>
  <c r="F521" i="1"/>
  <c r="F498" i="1"/>
  <c r="G472" i="1" l="1"/>
  <c r="H468" i="1"/>
  <c r="G158" i="1"/>
  <c r="G97" i="1"/>
  <c r="F110" i="1"/>
  <c r="F101" i="1"/>
  <c r="J333" i="1"/>
  <c r="I320" i="1"/>
  <c r="H320" i="1"/>
  <c r="I319" i="1"/>
  <c r="I335" i="1"/>
  <c r="G315" i="1"/>
  <c r="F315" i="1"/>
  <c r="I301" i="1"/>
  <c r="G296" i="1"/>
  <c r="F296" i="1"/>
  <c r="G282" i="1"/>
  <c r="F282" i="1"/>
  <c r="G277" i="1"/>
  <c r="F277" i="1"/>
  <c r="I276" i="1"/>
  <c r="H276" i="1"/>
  <c r="G276" i="1"/>
  <c r="F276" i="1"/>
  <c r="G320" i="1"/>
  <c r="G301" i="1"/>
  <c r="F320" i="1"/>
  <c r="F301" i="1"/>
  <c r="H301" i="1"/>
  <c r="H282" i="1"/>
  <c r="I282" i="1"/>
  <c r="K360" i="1"/>
  <c r="J360" i="1"/>
  <c r="I360" i="1"/>
  <c r="H360" i="1"/>
  <c r="G360" i="1"/>
  <c r="F360" i="1"/>
  <c r="K359" i="1"/>
  <c r="I359" i="1"/>
  <c r="H359" i="1"/>
  <c r="G359" i="1"/>
  <c r="F359" i="1"/>
  <c r="K358" i="1"/>
  <c r="J358" i="1"/>
  <c r="I358" i="1"/>
  <c r="H358" i="1"/>
  <c r="G358" i="1"/>
  <c r="F358" i="1"/>
  <c r="H244" i="1"/>
  <c r="I243" i="1"/>
  <c r="H243" i="1"/>
  <c r="G243" i="1"/>
  <c r="F243" i="1"/>
  <c r="H241" i="1"/>
  <c r="G241" i="1"/>
  <c r="G239" i="1"/>
  <c r="F239" i="1"/>
  <c r="I238" i="1"/>
  <c r="H238" i="1"/>
  <c r="G238" i="1"/>
  <c r="I234" i="1" l="1"/>
  <c r="H234" i="1"/>
  <c r="G234" i="1"/>
  <c r="F234" i="1"/>
  <c r="J233" i="1"/>
  <c r="I233" i="1"/>
  <c r="H233" i="1"/>
  <c r="G233" i="1"/>
  <c r="F233" i="1"/>
  <c r="I223" i="1"/>
  <c r="F221" i="1"/>
  <c r="I225" i="1" l="1"/>
  <c r="H225" i="1"/>
  <c r="G225" i="1"/>
  <c r="F225" i="1"/>
  <c r="H223" i="1"/>
  <c r="G223" i="1"/>
  <c r="H221" i="1"/>
  <c r="G221" i="1"/>
  <c r="I220" i="1"/>
  <c r="H220" i="1"/>
  <c r="G220" i="1"/>
  <c r="I216" i="1"/>
  <c r="H216" i="1"/>
  <c r="G216" i="1"/>
  <c r="F216" i="1"/>
  <c r="J215" i="1"/>
  <c r="I215" i="1"/>
  <c r="H215" i="1"/>
  <c r="G215" i="1"/>
  <c r="F215" i="1"/>
  <c r="H208" i="1"/>
  <c r="I207" i="1"/>
  <c r="H207" i="1"/>
  <c r="G207" i="1"/>
  <c r="F207" i="1"/>
  <c r="H205" i="1"/>
  <c r="G205" i="1"/>
  <c r="H203" i="1"/>
  <c r="G203" i="1"/>
  <c r="F203" i="1"/>
  <c r="I202" i="1"/>
  <c r="H202" i="1"/>
  <c r="G202" i="1"/>
  <c r="G200" i="1"/>
  <c r="F200" i="1"/>
  <c r="I198" i="1"/>
  <c r="H198" i="1"/>
  <c r="G198" i="1"/>
  <c r="F198" i="1"/>
  <c r="J197" i="1"/>
  <c r="I197" i="1"/>
  <c r="H197" i="1"/>
  <c r="G197" i="1"/>
  <c r="F197" i="1"/>
  <c r="H240" i="1" l="1"/>
  <c r="H222" i="1"/>
  <c r="H204" i="1"/>
  <c r="G240" i="1"/>
  <c r="G222" i="1"/>
  <c r="G204" i="1"/>
  <c r="F240" i="1"/>
  <c r="F222" i="1"/>
  <c r="F20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L319" i="1"/>
  <c r="L320" i="1"/>
  <c r="L321" i="1"/>
  <c r="E120" i="2" s="1"/>
  <c r="L322" i="1"/>
  <c r="L323" i="1"/>
  <c r="L324" i="1"/>
  <c r="L325" i="1"/>
  <c r="H662" i="1" s="1"/>
  <c r="L326" i="1"/>
  <c r="L333" i="1"/>
  <c r="L334" i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L250" i="1"/>
  <c r="L332" i="1"/>
  <c r="L254" i="1"/>
  <c r="L268" i="1"/>
  <c r="L269" i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E112" i="2"/>
  <c r="C113" i="2"/>
  <c r="E113" i="2"/>
  <c r="E114" i="2"/>
  <c r="D115" i="2"/>
  <c r="F115" i="2"/>
  <c r="G115" i="2"/>
  <c r="E118" i="2"/>
  <c r="E121" i="2"/>
  <c r="E122" i="2"/>
  <c r="C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J643" i="1" s="1"/>
  <c r="G401" i="1"/>
  <c r="H401" i="1"/>
  <c r="I401" i="1"/>
  <c r="F407" i="1"/>
  <c r="G407" i="1"/>
  <c r="H407" i="1"/>
  <c r="I407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I460" i="1"/>
  <c r="F461" i="1"/>
  <c r="H639" i="1" s="1"/>
  <c r="G461" i="1"/>
  <c r="H461" i="1"/>
  <c r="I461" i="1"/>
  <c r="H470" i="1"/>
  <c r="I470" i="1"/>
  <c r="I476" i="1" s="1"/>
  <c r="H625" i="1" s="1"/>
  <c r="J470" i="1"/>
  <c r="J476" i="1" s="1"/>
  <c r="H626" i="1" s="1"/>
  <c r="G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9" i="1"/>
  <c r="H630" i="1"/>
  <c r="H631" i="1"/>
  <c r="H634" i="1"/>
  <c r="H635" i="1"/>
  <c r="H636" i="1"/>
  <c r="H637" i="1"/>
  <c r="H638" i="1"/>
  <c r="G639" i="1"/>
  <c r="G640" i="1"/>
  <c r="H640" i="1"/>
  <c r="G641" i="1"/>
  <c r="H641" i="1"/>
  <c r="H642" i="1"/>
  <c r="G643" i="1"/>
  <c r="G644" i="1"/>
  <c r="H644" i="1"/>
  <c r="G645" i="1"/>
  <c r="G650" i="1"/>
  <c r="G651" i="1"/>
  <c r="G652" i="1"/>
  <c r="H652" i="1"/>
  <c r="G653" i="1"/>
  <c r="H653" i="1"/>
  <c r="G654" i="1"/>
  <c r="H654" i="1"/>
  <c r="H655" i="1"/>
  <c r="J655" i="1" s="1"/>
  <c r="F192" i="1"/>
  <c r="K257" i="1"/>
  <c r="G164" i="2"/>
  <c r="C26" i="10"/>
  <c r="L351" i="1"/>
  <c r="A31" i="12"/>
  <c r="C70" i="2"/>
  <c r="D62" i="2"/>
  <c r="D63" i="2" s="1"/>
  <c r="D18" i="13"/>
  <c r="C18" i="13" s="1"/>
  <c r="D15" i="13"/>
  <c r="C15" i="13" s="1"/>
  <c r="D18" i="2"/>
  <c r="D17" i="13"/>
  <c r="C17" i="13" s="1"/>
  <c r="E8" i="13"/>
  <c r="C8" i="13" s="1"/>
  <c r="C91" i="2"/>
  <c r="F78" i="2"/>
  <c r="F81" i="2" s="1"/>
  <c r="D31" i="2"/>
  <c r="C78" i="2"/>
  <c r="D50" i="2"/>
  <c r="G161" i="2"/>
  <c r="G156" i="2"/>
  <c r="E103" i="2"/>
  <c r="D91" i="2"/>
  <c r="E62" i="2"/>
  <c r="E63" i="2" s="1"/>
  <c r="E31" i="2"/>
  <c r="G62" i="2"/>
  <c r="D19" i="13"/>
  <c r="C19" i="13" s="1"/>
  <c r="E78" i="2"/>
  <c r="E81" i="2" s="1"/>
  <c r="L427" i="1"/>
  <c r="H112" i="1"/>
  <c r="F112" i="1"/>
  <c r="J641" i="1"/>
  <c r="J571" i="1"/>
  <c r="K571" i="1"/>
  <c r="L433" i="1"/>
  <c r="L419" i="1"/>
  <c r="D81" i="2"/>
  <c r="I169" i="1"/>
  <c r="H169" i="1"/>
  <c r="J644" i="1"/>
  <c r="F169" i="1"/>
  <c r="J140" i="1"/>
  <c r="I552" i="1"/>
  <c r="K549" i="1"/>
  <c r="G22" i="2"/>
  <c r="K545" i="1"/>
  <c r="J552" i="1"/>
  <c r="C29" i="10"/>
  <c r="H140" i="1"/>
  <c r="L401" i="1"/>
  <c r="C139" i="2" s="1"/>
  <c r="L393" i="1"/>
  <c r="C138" i="2" s="1"/>
  <c r="F22" i="13"/>
  <c r="H25" i="13"/>
  <c r="C25" i="13" s="1"/>
  <c r="J640" i="1"/>
  <c r="H571" i="1"/>
  <c r="L560" i="1"/>
  <c r="G192" i="1"/>
  <c r="H192" i="1"/>
  <c r="C35" i="10"/>
  <c r="E16" i="13"/>
  <c r="C16" i="13" s="1"/>
  <c r="L570" i="1"/>
  <c r="I545" i="1"/>
  <c r="J636" i="1"/>
  <c r="G36" i="2"/>
  <c r="L565" i="1"/>
  <c r="G545" i="1"/>
  <c r="C22" i="13"/>
  <c r="I446" i="1" l="1"/>
  <c r="G642" i="1" s="1"/>
  <c r="A40" i="12"/>
  <c r="A13" i="12"/>
  <c r="H52" i="1"/>
  <c r="H619" i="1" s="1"/>
  <c r="J619" i="1" s="1"/>
  <c r="J625" i="1"/>
  <c r="F18" i="2"/>
  <c r="G408" i="1"/>
  <c r="H645" i="1" s="1"/>
  <c r="J645" i="1" s="1"/>
  <c r="J634" i="1"/>
  <c r="J639" i="1"/>
  <c r="G662" i="1"/>
  <c r="J617" i="1"/>
  <c r="C18" i="2"/>
  <c r="K598" i="1"/>
  <c r="G647" i="1" s="1"/>
  <c r="J651" i="1"/>
  <c r="H545" i="1"/>
  <c r="K550" i="1"/>
  <c r="G552" i="1"/>
  <c r="L529" i="1"/>
  <c r="F552" i="1"/>
  <c r="K551" i="1"/>
  <c r="K552" i="1" s="1"/>
  <c r="L524" i="1"/>
  <c r="K500" i="1"/>
  <c r="C62" i="2"/>
  <c r="C63" i="2" s="1"/>
  <c r="C81" i="2"/>
  <c r="E123" i="2"/>
  <c r="E124" i="2"/>
  <c r="J338" i="1"/>
  <c r="J352" i="1" s="1"/>
  <c r="H338" i="1"/>
  <c r="H352" i="1" s="1"/>
  <c r="E115" i="2"/>
  <c r="H33" i="13"/>
  <c r="L256" i="1"/>
  <c r="D6" i="13"/>
  <c r="C6" i="13" s="1"/>
  <c r="J257" i="1"/>
  <c r="J271" i="1" s="1"/>
  <c r="C13" i="10"/>
  <c r="C109" i="2"/>
  <c r="C112" i="2"/>
  <c r="G661" i="1"/>
  <c r="H661" i="1"/>
  <c r="D29" i="13"/>
  <c r="C29" i="13" s="1"/>
  <c r="F661" i="1"/>
  <c r="D127" i="2"/>
  <c r="D128" i="2" s="1"/>
  <c r="D145" i="2" s="1"/>
  <c r="L362" i="1"/>
  <c r="G635" i="1" s="1"/>
  <c r="J635" i="1" s="1"/>
  <c r="F662" i="1"/>
  <c r="K338" i="1"/>
  <c r="K352" i="1" s="1"/>
  <c r="C19" i="10"/>
  <c r="F338" i="1"/>
  <c r="F352" i="1" s="1"/>
  <c r="E119" i="2"/>
  <c r="L290" i="1"/>
  <c r="L309" i="1"/>
  <c r="L328" i="1"/>
  <c r="G338" i="1"/>
  <c r="G352" i="1" s="1"/>
  <c r="C11" i="10"/>
  <c r="K271" i="1"/>
  <c r="G649" i="1"/>
  <c r="J649" i="1" s="1"/>
  <c r="H647" i="1"/>
  <c r="C21" i="10"/>
  <c r="C123" i="2"/>
  <c r="D14" i="13"/>
  <c r="C14" i="13" s="1"/>
  <c r="C20" i="10"/>
  <c r="C122" i="2"/>
  <c r="E13" i="13"/>
  <c r="C13" i="13" s="1"/>
  <c r="C18" i="10"/>
  <c r="D12" i="13"/>
  <c r="C12" i="13" s="1"/>
  <c r="C121" i="2"/>
  <c r="C17" i="10"/>
  <c r="C120" i="2"/>
  <c r="H257" i="1"/>
  <c r="H271" i="1" s="1"/>
  <c r="C16" i="10"/>
  <c r="D7" i="13"/>
  <c r="C7" i="13" s="1"/>
  <c r="C119" i="2"/>
  <c r="C15" i="10"/>
  <c r="C118" i="2"/>
  <c r="D5" i="13"/>
  <c r="C5" i="13" s="1"/>
  <c r="I257" i="1"/>
  <c r="I271" i="1" s="1"/>
  <c r="G257" i="1"/>
  <c r="G271" i="1" s="1"/>
  <c r="L247" i="1"/>
  <c r="F257" i="1"/>
  <c r="F271" i="1" s="1"/>
  <c r="C110" i="2"/>
  <c r="L229" i="1"/>
  <c r="C10" i="10"/>
  <c r="L211" i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F468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A22" i="12"/>
  <c r="G50" i="2"/>
  <c r="G51" i="2" s="1"/>
  <c r="J652" i="1"/>
  <c r="J642" i="1"/>
  <c r="G571" i="1"/>
  <c r="I434" i="1"/>
  <c r="G434" i="1"/>
  <c r="I663" i="1"/>
  <c r="G627" i="1" l="1"/>
  <c r="I193" i="1"/>
  <c r="G630" i="1" s="1"/>
  <c r="J630" i="1" s="1"/>
  <c r="G104" i="2"/>
  <c r="H646" i="1"/>
  <c r="I662" i="1"/>
  <c r="F51" i="2"/>
  <c r="J647" i="1"/>
  <c r="L545" i="1"/>
  <c r="C104" i="2"/>
  <c r="E128" i="2"/>
  <c r="E145" i="2" s="1"/>
  <c r="C27" i="10"/>
  <c r="C28" i="10" s="1"/>
  <c r="D24" i="10" s="1"/>
  <c r="H648" i="1"/>
  <c r="J648" i="1" s="1"/>
  <c r="C115" i="2"/>
  <c r="I661" i="1"/>
  <c r="G660" i="1"/>
  <c r="G664" i="1" s="1"/>
  <c r="G667" i="1" s="1"/>
  <c r="F660" i="1"/>
  <c r="F664" i="1" s="1"/>
  <c r="L338" i="1"/>
  <c r="L352" i="1" s="1"/>
  <c r="D31" i="13"/>
  <c r="C31" i="13" s="1"/>
  <c r="H660" i="1"/>
  <c r="H664" i="1" s="1"/>
  <c r="H667" i="1" s="1"/>
  <c r="E33" i="13"/>
  <c r="D35" i="13" s="1"/>
  <c r="C128" i="2"/>
  <c r="L257" i="1"/>
  <c r="L271" i="1" s="1"/>
  <c r="C51" i="2"/>
  <c r="G631" i="1"/>
  <c r="J631" i="1" s="1"/>
  <c r="J646" i="1"/>
  <c r="G193" i="1"/>
  <c r="G626" i="1"/>
  <c r="J626" i="1" s="1"/>
  <c r="J52" i="1"/>
  <c r="H621" i="1" s="1"/>
  <c r="J621" i="1" s="1"/>
  <c r="C38" i="10"/>
  <c r="F470" i="1" l="1"/>
  <c r="H627" i="1"/>
  <c r="J627" i="1" s="1"/>
  <c r="G633" i="1"/>
  <c r="H472" i="1"/>
  <c r="G632" i="1"/>
  <c r="F472" i="1"/>
  <c r="G628" i="1"/>
  <c r="G468" i="1"/>
  <c r="C145" i="2"/>
  <c r="G672" i="1"/>
  <c r="C5" i="10" s="1"/>
  <c r="D33" i="13"/>
  <c r="D36" i="13" s="1"/>
  <c r="I660" i="1"/>
  <c r="I664" i="1" s="1"/>
  <c r="I672" i="1" s="1"/>
  <c r="C7" i="10" s="1"/>
  <c r="H672" i="1"/>
  <c r="C6" i="10" s="1"/>
  <c r="D15" i="10"/>
  <c r="D16" i="10"/>
  <c r="D10" i="10"/>
  <c r="D11" i="10"/>
  <c r="D19" i="10"/>
  <c r="D20" i="10"/>
  <c r="C30" i="10"/>
  <c r="D23" i="10"/>
  <c r="D13" i="10"/>
  <c r="D21" i="10"/>
  <c r="D26" i="10"/>
  <c r="D25" i="10"/>
  <c r="D22" i="10"/>
  <c r="D27" i="10"/>
  <c r="D18" i="10"/>
  <c r="D17" i="10"/>
  <c r="D12" i="10"/>
  <c r="F672" i="1"/>
  <c r="C4" i="10" s="1"/>
  <c r="F667" i="1"/>
  <c r="C41" i="10"/>
  <c r="D38" i="10" s="1"/>
  <c r="H474" i="1" l="1"/>
  <c r="H476" i="1" s="1"/>
  <c r="H624" i="1" s="1"/>
  <c r="J624" i="1" s="1"/>
  <c r="H633" i="1"/>
  <c r="J633" i="1" s="1"/>
  <c r="H632" i="1"/>
  <c r="J632" i="1" s="1"/>
  <c r="F474" i="1"/>
  <c r="F476" i="1" s="1"/>
  <c r="H622" i="1" s="1"/>
  <c r="J622" i="1" s="1"/>
  <c r="G470" i="1"/>
  <c r="G476" i="1" s="1"/>
  <c r="H623" i="1" s="1"/>
  <c r="H628" i="1"/>
  <c r="J628" i="1" s="1"/>
  <c r="I667" i="1"/>
  <c r="D28" i="10"/>
  <c r="D37" i="10"/>
  <c r="D36" i="10"/>
  <c r="D35" i="10"/>
  <c r="D40" i="10"/>
  <c r="D39" i="10"/>
  <c r="J623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<sst xmlns="http://schemas.openxmlformats.org/spreadsheetml/2006/main" count="3958" uniqueCount="916">
  <si>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</si>
  <si>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</si>
  <si>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</si>
  <si>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</si>
  <si>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</si>
  <si>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</si>
  <si>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</si>
  <si>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</si>
  <si>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</si>
  <si>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</si>
  <si>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</si>
  <si>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</si>
  <si>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</si>
  <si>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</si>
  <si>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</si>
  <si>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</si>
  <si>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</si>
  <si>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</si>
  <si>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</si>
  <si>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</si>
  <si>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</si>
  <si>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</si>
  <si>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</si>
  <si>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</si>
  <si>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</si>
  <si>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</si>
  <si>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</si>
  <si>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</si>
  <si>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</si>
  <si>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</si>
  <si>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</si>
  <si>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</si>
  <si>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</si>
  <si>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</si>
  <si>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</si>
  <si>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</si>
  <si>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</si>
  <si>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</si>
  <si>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</si>
  <si>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</si>
  <si>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</si>
  <si>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</si>
  <si>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</si>
  <si>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</si>
  <si>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</si>
  <si>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</si>
  <si>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</si>
  <si>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</si>
  <si>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</si>
  <si>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</si>
  <si>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</si>
  <si>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</si>
  <si>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</si>
  <si>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</si>
  <si>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</si>
  <si>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</si>
  <si>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</si>
  <si>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</si>
  <si>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</si>
  <si>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</si>
  <si>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</si>
  <si>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</si>
  <si>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</si>
  <si>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</si>
  <si>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</si>
  <si>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</si>
  <si>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</si>
  <si>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</si>
  <si>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</si>
  <si>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</si>
  <si>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</si>
  <si>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</si>
  <si>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</si>
  <si>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</si>
  <si>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</si>
  <si>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</si>
  <si>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</si>
  <si>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</si>
  <si>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</si>
  <si>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</si>
  <si>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</si>
  <si>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</si>
  <si>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</si>
  <si>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</si>
  <si>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</si>
  <si>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</si>
  <si>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</si>
  <si>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</si>
  <si>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</si>
  <si>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</si>
  <si>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</si>
  <si>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</si>
  <si>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</si>
  <si>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</si>
  <si>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</si>
  <si>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</si>
  <si>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</si>
  <si>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</si>
  <si>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</si>
  <si>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</si>
  <si>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</si>
  <si>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</si>
  <si>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</si>
  <si>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</si>
  <si>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</si>
  <si>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</si>
  <si>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</si>
  <si>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</si>
  <si>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</si>
  <si>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</si>
  <si>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</si>
  <si>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</si>
  <si>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</si>
  <si>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</si>
  <si>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</si>
  <si>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</si>
  <si>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</si>
  <si>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</si>
  <si>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</si>
  <si>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</si>
  <si>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</si>
  <si>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</si>
  <si>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</si>
  <si>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</si>
  <si>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</si>
  <si>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</si>
  <si>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</si>
  <si>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</si>
  <si>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</si>
  <si>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</si>
  <si>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</si>
  <si>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</si>
  <si>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</si>
  <si>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</si>
  <si>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</si>
  <si>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</si>
  <si>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</si>
  <si>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</si>
  <si>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</si>
  <si>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</si>
  <si>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</si>
  <si>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</si>
  <si>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</si>
  <si>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</si>
  <si>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</si>
  <si>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</si>
  <si>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</si>
  <si>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</si>
  <si>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</si>
  <si>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</si>
  <si>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</si>
  <si>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</si>
  <si>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</si>
  <si>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</si>
  <si>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</si>
  <si>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</si>
  <si>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</si>
  <si>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</si>
  <si>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</si>
  <si>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</si>
  <si>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</si>
  <si>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</si>
  <si>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</si>
  <si>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</si>
  <si>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</si>
  <si>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</si>
  <si>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</si>
  <si>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</si>
  <si>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</si>
  <si>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</si>
  <si>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</si>
  <si>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</si>
  <si>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</si>
  <si>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</si>
  <si>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</si>
  <si>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</si>
  <si>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</si>
  <si>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</si>
  <si>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</si>
  <si>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</si>
  <si>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</si>
  <si>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</si>
  <si>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</si>
  <si>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</si>
  <si>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</si>
  <si>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</si>
  <si>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</si>
  <si>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</si>
  <si>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</si>
  <si>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</si>
  <si>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</si>
  <si>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</si>
  <si>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</si>
  <si>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</si>
  <si>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</si>
  <si>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</si>
  <si>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</si>
  <si>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</si>
  <si>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</si>
  <si>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</si>
  <si>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</si>
  <si>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</si>
  <si>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</si>
  <si>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</si>
  <si>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</si>
  <si>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</si>
  <si>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</si>
  <si>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</si>
  <si>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</si>
  <si>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</si>
  <si>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</si>
  <si>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</si>
  <si>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</si>
  <si>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</si>
  <si>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</si>
  <si>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</si>
  <si>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</si>
  <si>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</si>
  <si>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</si>
  <si>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</si>
  <si>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</si>
  <si>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</si>
  <si>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</si>
  <si>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</si>
  <si>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</si>
  <si>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</si>
  <si>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</si>
  <si>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</si>
  <si>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</si>
  <si>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</si>
  <si>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</si>
  <si>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</si>
  <si>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</si>
  <si>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</si>
  <si>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</si>
  <si>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</si>
  <si>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</si>
  <si>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</si>
  <si>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</si>
  <si>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</si>
  <si>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</si>
  <si>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</si>
  <si>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</si>
  <si>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</si>
  <si>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</si>
  <si>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</si>
  <si>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</si>
  <si>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</si>
  <si>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</si>
  <si>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</si>
  <si>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</si>
  <si>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</si>
  <si>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</si>
  <si>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</si>
  <si>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</si>
  <si>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</si>
  <si>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</si>
  <si>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</si>
  <si>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</si>
  <si>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</si>
  <si>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</si>
  <si>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</si>
  <si>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</si>
  <si>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</si>
  <si>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</si>
  <si>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</si>
  <si>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</si>
  <si>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</si>
  <si>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</si>
  <si>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</si>
  <si>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</si>
  <si>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</si>
  <si>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</si>
  <si>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</si>
  <si>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</si>
  <si>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</si>
  <si>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</si>
  <si>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</si>
  <si>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</si>
  <si>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</si>
  <si>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</si>
  <si>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</si>
  <si>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</si>
  <si>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</si>
  <si>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</si>
  <si>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</si>
  <si>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</si>
  <si>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</si>
  <si>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</si>
  <si>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</si>
  <si>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</si>
  <si>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</si>
  <si>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</si>
  <si>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</si>
  <si>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</si>
  <si>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</si>
  <si>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</si>
  <si>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</si>
  <si>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</si>
  <si>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</si>
  <si>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</si>
  <si>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</si>
  <si>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</si>
  <si>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</si>
  <si>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</si>
  <si>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</si>
  <si>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</si>
  <si>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</si>
  <si>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</si>
  <si>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</si>
  <si>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</si>
  <si>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</si>
  <si>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</si>
  <si>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</si>
  <si>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</si>
  <si>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</si>
  <si>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</si>
  <si>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</si>
  <si>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</si>
  <si>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</si>
  <si>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</si>
  <si>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</si>
  <si>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</si>
  <si>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</si>
  <si>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</si>
  <si>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</si>
  <si>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</si>
  <si>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</si>
  <si>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</si>
  <si>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</si>
  <si>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</si>
  <si>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</si>
  <si>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</si>
  <si>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</si>
  <si>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</si>
  <si>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</si>
  <si>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</si>
  <si>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</si>
  <si>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</si>
  <si>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</si>
  <si>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</si>
  <si>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</si>
  <si>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</si>
  <si>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</si>
  <si>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</si>
  <si>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</si>
  <si>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</si>
  <si>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</si>
  <si>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</si>
  <si>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</si>
  <si>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</si>
  <si>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</si>
  <si>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</si>
  <si>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</si>
  <si>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</si>
  <si>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</si>
  <si>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</si>
  <si>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</si>
  <si>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</si>
  <si>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</si>
  <si>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</si>
  <si>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</si>
  <si>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</si>
  <si>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</si>
  <si>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</si>
  <si>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</si>
  <si>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</si>
  <si>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</si>
  <si>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</si>
  <si>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</si>
  <si>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</si>
  <si>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</si>
  <si>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</si>
  <si>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</si>
  <si>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</si>
  <si>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</si>
  <si>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</si>
  <si>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</si>
  <si>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</si>
  <si>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</si>
  <si>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</si>
  <si>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</si>
  <si>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</si>
  <si>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</si>
  <si>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</si>
  <si>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</si>
  <si>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</si>
  <si>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</si>
  <si>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</si>
  <si>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</si>
  <si>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</si>
  <si>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</si>
  <si>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</si>
  <si>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</si>
  <si>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</si>
  <si>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</si>
  <si>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</si>
  <si>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</si>
  <si>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</si>
  <si>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</si>
  <si>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</si>
  <si>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</si>
  <si>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</si>
  <si>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</si>
  <si>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</si>
  <si>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</si>
  <si>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</si>
  <si>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</si>
  <si>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</si>
  <si>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</si>
  <si>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</si>
  <si>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</si>
  <si>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</si>
  <si>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</si>
  <si>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</si>
  <si>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</si>
  <si>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</si>
  <si>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</si>
  <si>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</si>
  <si>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</si>
  <si>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</si>
  <si>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</si>
  <si>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</si>
  <si>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</si>
  <si>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</si>
  <si>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</si>
  <si>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</si>
  <si>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</si>
  <si>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</si>
  <si>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</si>
  <si>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</si>
  <si>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</si>
  <si>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</si>
  <si>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</si>
  <si>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</si>
  <si>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</si>
  <si>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</si>
  <si>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</si>
  <si>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</si>
  <si>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</si>
  <si>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</si>
  <si>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</si>
  <si>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</si>
  <si>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</si>
  <si>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</si>
  <si>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</si>
  <si>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</si>
  <si>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</si>
  <si>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</si>
  <si>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</si>
  <si>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</si>
  <si>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</si>
  <si>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</si>
  <si>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</si>
  <si>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</si>
  <si>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</si>
  <si>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</si>
  <si>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</si>
  <si>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</si>
  <si>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</si>
  <si>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</si>
  <si>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</si>
  <si>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</si>
  <si>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</si>
  <si>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</si>
  <si>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</si>
  <si>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</si>
  <si>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</si>
  <si>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</si>
  <si>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</si>
  <si>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</si>
  <si>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</si>
  <si>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</si>
  <si>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</si>
  <si>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</si>
  <si>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</si>
  <si>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</si>
  <si>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</si>
  <si>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</si>
  <si>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</si>
  <si>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</si>
  <si>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</si>
  <si>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</si>
  <si>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</si>
  <si>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</si>
  <si>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</si>
  <si>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</si>
  <si>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</si>
  <si>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</si>
  <si>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</si>
  <si>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</si>
  <si>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</si>
  <si>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</si>
  <si>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</si>
  <si>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</si>
  <si>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</si>
  <si>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</si>
  <si>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</si>
  <si>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</si>
  <si>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</si>
  <si>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</si>
  <si>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</si>
  <si>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</si>
  <si>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</si>
  <si>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</si>
  <si>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</si>
  <si>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</si>
  <si>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</si>
  <si>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</si>
  <si>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</si>
  <si>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</si>
  <si>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</si>
  <si>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</si>
  <si>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</si>
  <si>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</si>
  <si>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</si>
  <si>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</si>
  <si>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</si>
  <si>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</si>
  <si>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</si>
  <si>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</si>
  <si>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</si>
  <si>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</si>
  <si>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</si>
  <si>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</si>
  <si>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</si>
  <si>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</si>
  <si>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</si>
  <si>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</si>
  <si>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</si>
  <si>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</si>
  <si>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</si>
  <si>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</si>
  <si>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</si>
  <si>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</si>
  <si>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</si>
  <si>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</si>
  <si>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</si>
  <si>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</si>
  <si>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</si>
  <si>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</si>
  <si>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</si>
  <si>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</si>
  <si>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</si>
  <si>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</si>
  <si>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</si>
  <si>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</si>
  <si>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</si>
  <si>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</si>
  <si>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</si>
  <si>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</si>
  <si>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</si>
  <si>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</si>
  <si>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</si>
  <si>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</si>
  <si>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</si>
  <si>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</si>
  <si>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</si>
  <si>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</si>
  <si>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</si>
  <si>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</si>
  <si>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</si>
  <si>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</si>
  <si>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</si>
  <si>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</si>
  <si>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</si>
  <si>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</si>
  <si>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</si>
  <si>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</si>
  <si>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</si>
  <si>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</si>
  <si>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</si>
  <si>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</si>
  <si>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</si>
  <si>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</si>
  <si>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</si>
  <si>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</si>
  <si>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</si>
  <si>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</si>
  <si>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</si>
  <si>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</si>
  <si>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</si>
  <si>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</si>
  <si>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</si>
  <si>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</si>
  <si>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</si>
  <si>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</si>
  <si>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</si>
  <si>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</si>
  <si>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</si>
  <si>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</si>
  <si>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</si>
  <si>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</si>
  <si>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</si>
  <si>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</si>
  <si>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</si>
  <si>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</si>
  <si>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</si>
  <si>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</si>
  <si>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</si>
  <si>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</si>
  <si>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</si>
  <si>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</si>
  <si>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</si>
  <si>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</si>
  <si>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</si>
  <si>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</si>
  <si>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</si>
  <si>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</si>
  <si>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</si>
  <si>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</si>
  <si>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</si>
  <si>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</si>
  <si>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</si>
  <si>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</si>
  <si>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</si>
  <si>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</si>
  <si>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</si>
  <si>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</si>
  <si>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</si>
  <si>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</si>
  <si>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</si>
  <si>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</si>
  <si>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</si>
  <si>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</si>
  <si>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</si>
  <si>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</si>
  <si>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</si>
  <si>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</si>
  <si>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</si>
  <si>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</si>
  <si>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</si>
  <si>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</si>
  <si>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</si>
  <si>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</si>
  <si>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</si>
  <si>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</si>
  <si>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</si>
  <si>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</si>
  <si>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</si>
  <si>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</si>
  <si>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</si>
  <si>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</si>
  <si>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</si>
  <si>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</si>
  <si>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</si>
  <si>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</si>
  <si>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</si>
  <si>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</si>
  <si>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</si>
  <si>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</si>
  <si>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</si>
  <si>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</si>
  <si>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</si>
  <si>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</si>
  <si>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</si>
  <si>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</si>
  <si>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</si>
  <si>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</si>
  <si>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</si>
  <si>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</si>
  <si>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</si>
  <si>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</si>
  <si>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</si>
  <si>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</si>
  <si>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</si>
  <si>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</si>
  <si>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</si>
  <si>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</si>
  <si>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</si>
  <si>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</si>
  <si>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</si>
  <si>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</si>
  <si>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</si>
  <si>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</si>
  <si>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</si>
  <si>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</si>
  <si>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</si>
  <si>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</si>
  <si>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</si>
  <si>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</si>
  <si>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</si>
  <si>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</si>
  <si>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</si>
  <si>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</si>
  <si>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</si>
  <si>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</si>
  <si>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</si>
  <si>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</si>
  <si>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</si>
  <si>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</si>
  <si>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</si>
  <si>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</si>
  <si>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</si>
  <si>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</si>
  <si>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</si>
  <si>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</si>
  <si>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</si>
  <si>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</si>
  <si>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</si>
  <si>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</si>
  <si>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</si>
  <si>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</si>
  <si>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</si>
  <si>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</si>
  <si>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</si>
  <si>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</si>
  <si>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</si>
  <si>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</si>
  <si>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</si>
  <si>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</si>
  <si>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</si>
  <si>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</si>
  <si>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</si>
  <si>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</si>
  <si>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</si>
  <si>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</si>
  <si>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</si>
  <si>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</si>
  <si>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</si>
  <si>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</si>
  <si>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</si>
  <si>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</si>
  <si>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</si>
  <si>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</si>
  <si>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</si>
  <si>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</si>
  <si>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</si>
  <si>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</si>
  <si>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</si>
  <si>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</si>
  <si>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</si>
  <si>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</si>
  <si>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</si>
  <si>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</si>
  <si>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</si>
  <si>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</si>
  <si>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</si>
  <si>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</si>
  <si>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</si>
  <si>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</si>
  <si>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</si>
  <si>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</si>
  <si>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</si>
  <si>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</si>
  <si>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</si>
  <si>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</si>
  <si>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</si>
  <si>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</si>
  <si>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</si>
  <si>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</si>
  <si>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</si>
  <si>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</si>
  <si>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</si>
  <si>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</si>
  <si>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</si>
  <si>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</si>
  <si>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</si>
  <si>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</si>
  <si>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</si>
  <si>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</si>
  <si>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</si>
  <si>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</si>
  <si>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</si>
  <si>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</si>
  <si>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</si>
  <si>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</si>
  <si>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</si>
  <si>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</si>
  <si>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</si>
  <si>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</si>
  <si>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</si>
  <si>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</si>
  <si>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</si>
  <si>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</si>
  <si>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</si>
  <si>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</si>
  <si>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</si>
  <si>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</si>
  <si>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</si>
  <si>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</si>
  <si>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</si>
  <si>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</si>
  <si>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</si>
  <si>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</si>
  <si>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</si>
  <si>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</si>
  <si>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</si>
  <si>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</si>
  <si>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</si>
  <si>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</si>
  <si>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</si>
  <si>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</si>
  <si>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</si>
  <si>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</si>
  <si>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</si>
  <si>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</si>
  <si>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</si>
  <si>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</si>
  <si>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</si>
  <si>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</si>
  <si>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</si>
  <si>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</si>
  <si>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</si>
  <si>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</si>
  <si>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</si>
  <si>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</si>
  <si>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</si>
  <si>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</si>
  <si>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</si>
  <si>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</si>
  <si>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</si>
  <si>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</si>
  <si>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</si>
  <si>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</si>
  <si>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</si>
  <si>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</si>
  <si>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</si>
  <si>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</si>
  <si>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</si>
  <si>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</si>
  <si>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</si>
  <si>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</si>
  <si>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</si>
  <si>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</si>
  <si>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</si>
  <si>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</si>
  <si>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</si>
  <si>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</si>
  <si>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</si>
  <si>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</si>
  <si>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</si>
  <si>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</si>
  <si>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</si>
  <si>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</si>
  <si>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</si>
  <si>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</si>
  <si>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</si>
  <si>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</si>
  <si>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</si>
  <si>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</si>
  <si>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</si>
  <si>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</si>
  <si>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</si>
  <si>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</si>
  <si>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</si>
  <si>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</si>
  <si>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</si>
  <si>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</si>
  <si>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</si>
  <si>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</si>
  <si>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</si>
  <si>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</si>
  <si>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</si>
  <si>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</si>
  <si>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</si>
  <si>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</si>
  <si>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</si>
  <si>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</si>
  <si>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</si>
  <si>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</si>
  <si>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</si>
  <si>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</si>
  <si>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</si>
  <si>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</si>
  <si>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</si>
  <si>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</si>
  <si>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</si>
  <si>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</si>
  <si>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</si>
  <si>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</si>
  <si>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</si>
  <si>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</si>
  <si>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</si>
  <si>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</si>
  <si>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</si>
  <si>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</si>
  <si>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</si>
  <si>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</si>
  <si>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</si>
  <si>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</si>
  <si>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</si>
  <si>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</si>
  <si>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</si>
  <si>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</si>
  <si>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</si>
  <si>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</si>
  <si>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</si>
  <si>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</si>
  <si>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</si>
  <si>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</si>
  <si>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</si>
  <si>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</si>
  <si>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</si>
  <si>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</si>
  <si>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</si>
  <si>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</si>
  <si>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</si>
  <si>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</si>
  <si>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</si>
  <si>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</si>
  <si>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</si>
  <si>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</si>
  <si>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</si>
  <si>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</si>
  <si>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</si>
  <si>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</si>
  <si>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</si>
  <si>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</si>
  <si>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</si>
  <si>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</si>
  <si>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Goffstown</t>
  </si>
  <si>
    <t>10/10</t>
  </si>
  <si>
    <t>07/21</t>
  </si>
  <si>
    <t>Reflects DRA's requested methodology for addressing and reporting the "2.5% Contingency Fund" RSA 198:4-b</t>
  </si>
  <si>
    <t>Previously reported as creation of a new reserve fund.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</si>
</sst>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199</v>
      </c>
      <c r="C2" s="21">
        <v>199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4703126+225358+250000</f>
        <v>5178484</v>
      </c>
      <c r="G9" s="18">
        <f>1259697-1143167</f>
        <v>116530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39920</v>
      </c>
      <c r="H12" s="18">
        <v>105377</v>
      </c>
      <c r="I12" s="18">
        <v>81975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4708</v>
      </c>
      <c r="H13" s="18">
        <v>1701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35456</v>
      </c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72607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263743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5286547</v>
      </c>
      <c r="G19" s="41">
        <f>SUM(G9:G18)</f>
        <v>161158</v>
      </c>
      <c r="H19" s="41">
        <f>SUM(H9:H18)</f>
        <v>107078</v>
      </c>
      <c r="I19" s="41">
        <f>SUM(I9:I18)</f>
        <v>81975</v>
      </c>
      <c r="J19" s="41">
        <f>SUM(J9:J18)</f>
        <v>263743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1133540</v>
      </c>
      <c r="G24" s="18"/>
      <c r="H24" s="18">
        <v>1901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14324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59200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6300</v>
      </c>
      <c r="G30" s="18"/>
      <c r="H30" s="18">
        <v>26608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1262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1214626</v>
      </c>
      <c r="G32" s="41">
        <f>SUM(G22:G31)</f>
        <v>0</v>
      </c>
      <c r="H32" s="41">
        <f>SUM(H22:H31)</f>
        <v>28509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35456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72607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275000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1189811</v>
      </c>
      <c r="G48" s="18">
        <v>161158</v>
      </c>
      <c r="H48" s="18">
        <v>78569</v>
      </c>
      <c r="I48" s="18">
        <v>81975</v>
      </c>
      <c r="J48" s="13">
        <f>SUM(I459)</f>
        <v>263743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1914815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584232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4071921</v>
      </c>
      <c r="G51" s="41">
        <f>SUM(G35:G50)</f>
        <v>161158</v>
      </c>
      <c r="H51" s="41">
        <f>SUM(H35:H50)</f>
        <v>78569</v>
      </c>
      <c r="I51" s="41">
        <f>SUM(I35:I50)</f>
        <v>81975</v>
      </c>
      <c r="J51" s="41">
        <f>SUM(J35:J50)</f>
        <v>263743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5286547</v>
      </c>
      <c r="G52" s="41">
        <f>G51+G32</f>
        <v>161158</v>
      </c>
      <c r="H52" s="41">
        <f>H51+H32</f>
        <v>107078</v>
      </c>
      <c r="I52" s="41">
        <f>I51+I32</f>
        <v>81975</v>
      </c>
      <c r="J52" s="41">
        <f>J51+J32</f>
        <v>263743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18144294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18144294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53214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27426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6607468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404297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7092405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396608+14081+10278+223899+14458</f>
        <v>659324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4000+225+398</f>
        <v>4623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335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752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355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4393+312+1838+903+26394</f>
        <v>33840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39905</v>
      </c>
      <c r="G111" s="41">
        <f>SUM(G96:G110)</f>
        <v>659324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25276604</v>
      </c>
      <c r="G112" s="41">
        <f>G60+G111</f>
        <v>659324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6828547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3165978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3190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9997715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393340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423026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22040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11924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838406</v>
      </c>
      <c r="G136" s="41">
        <f>SUM(G123:G135)</f>
        <v>11924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10836121</v>
      </c>
      <c r="G140" s="41">
        <f>G121+SUM(G136:G137)</f>
        <v>11924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204282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540449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225568+29408+10622</f>
        <v>265598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393967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393967</v>
      </c>
      <c r="G162" s="41">
        <f>SUM(G150:G161)</f>
        <v>265598</v>
      </c>
      <c r="H162" s="41">
        <f>SUM(H150:H161)</f>
        <v>744731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50093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393967</v>
      </c>
      <c r="G169" s="41">
        <f>G147+G162+SUM(G163:G168)</f>
        <v>315691</v>
      </c>
      <c r="H169" s="41">
        <f>H147+H162+SUM(H163:H168)</f>
        <v>744731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225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225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>
        <v>81975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81975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225</v>
      </c>
      <c r="H192" s="41">
        <f>+H183+SUM(H188:H191)</f>
        <v>0</v>
      </c>
      <c r="I192" s="41">
        <f>I177+I183+SUM(I188:I191)</f>
        <v>81975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36506692</v>
      </c>
      <c r="G193" s="47">
        <f>G112+G140+G169+G192</f>
        <v>987164</v>
      </c>
      <c r="H193" s="47">
        <f>H112+H140+H169+H192</f>
        <v>744731</v>
      </c>
      <c r="I193" s="47">
        <f>I112+I140+I169+I192</f>
        <v>81975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157455+2292700</f>
        <v>2450155</v>
      </c>
      <c r="G197" s="18">
        <f>49498+1207631</f>
        <v>1257129</v>
      </c>
      <c r="H197" s="18">
        <f>1351+71285</f>
        <v>72636</v>
      </c>
      <c r="I197" s="18">
        <f>963+82564</f>
        <v>83527</v>
      </c>
      <c r="J197" s="18">
        <f>1549+27729</f>
        <v>29278</v>
      </c>
      <c r="K197" s="18"/>
      <c r="L197" s="19">
        <f>SUM(F197:K197)</f>
        <v>3892725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94039+34144+970134</f>
        <v>1098317</v>
      </c>
      <c r="G198" s="18">
        <f>30763+17166+607336</f>
        <v>655265</v>
      </c>
      <c r="H198" s="18">
        <f>753184+726+1971</f>
        <v>755881</v>
      </c>
      <c r="I198" s="18">
        <f>163+9189</f>
        <v>9352</v>
      </c>
      <c r="J198" s="18">
        <v>2211</v>
      </c>
      <c r="K198" s="18"/>
      <c r="L198" s="19">
        <f>SUM(F198:K198)</f>
        <v>2521026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25506+600</f>
        <v>26106</v>
      </c>
      <c r="G200" s="18">
        <f>5554+31</f>
        <v>5585</v>
      </c>
      <c r="H200" s="18"/>
      <c r="I200" s="18"/>
      <c r="J200" s="18"/>
      <c r="K200" s="18"/>
      <c r="L200" s="19">
        <f>SUM(F200:K200)</f>
        <v>31691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411772</v>
      </c>
      <c r="G202" s="18">
        <f>-16+206756</f>
        <v>206740</v>
      </c>
      <c r="H202" s="18">
        <f>1084+3909</f>
        <v>4993</v>
      </c>
      <c r="I202" s="18">
        <f>667+12382</f>
        <v>13049</v>
      </c>
      <c r="J202" s="18">
        <v>1035</v>
      </c>
      <c r="K202" s="18"/>
      <c r="L202" s="19">
        <f t="shared" ref="L202:L208" si="0">SUM(F202:K202)</f>
        <v>637589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66121+96618</f>
        <v>162739</v>
      </c>
      <c r="G203" s="18">
        <f>24059+37282</f>
        <v>61341</v>
      </c>
      <c r="H203" s="18">
        <f>9161+159</f>
        <v>9320</v>
      </c>
      <c r="I203" s="18">
        <v>14076</v>
      </c>
      <c r="J203" s="18">
        <v>255</v>
      </c>
      <c r="K203" s="18"/>
      <c r="L203" s="19">
        <f t="shared" si="0"/>
        <v>247731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6941+529+318</f>
        <v>7788</v>
      </c>
      <c r="G204" s="18">
        <f>865+54+33</f>
        <v>952</v>
      </c>
      <c r="H204" s="18">
        <f>1998+2762+3353+15975+379468</f>
        <v>403556</v>
      </c>
      <c r="I204" s="18">
        <v>814</v>
      </c>
      <c r="J204" s="18"/>
      <c r="K204" s="18">
        <v>4467</v>
      </c>
      <c r="L204" s="19">
        <f t="shared" si="0"/>
        <v>417577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470841</v>
      </c>
      <c r="G205" s="18">
        <f>1111+208067</f>
        <v>209178</v>
      </c>
      <c r="H205" s="18">
        <f>4665+23262</f>
        <v>27927</v>
      </c>
      <c r="I205" s="18">
        <v>2609</v>
      </c>
      <c r="J205" s="18">
        <v>126</v>
      </c>
      <c r="K205" s="18">
        <v>1700</v>
      </c>
      <c r="L205" s="19">
        <f t="shared" si="0"/>
        <v>712381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>
        <v>529</v>
      </c>
      <c r="L206" s="19">
        <f t="shared" si="0"/>
        <v>529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50820+171976</f>
        <v>222796</v>
      </c>
      <c r="G207" s="18">
        <f>21935+98796</f>
        <v>120731</v>
      </c>
      <c r="H207" s="18">
        <f>16991+215087</f>
        <v>232078</v>
      </c>
      <c r="I207" s="18">
        <f>1031+2224+191138</f>
        <v>194393</v>
      </c>
      <c r="J207" s="18">
        <v>47716</v>
      </c>
      <c r="K207" s="18"/>
      <c r="L207" s="19">
        <f t="shared" si="0"/>
        <v>817714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372391+267499+12542+1300</f>
        <v>653732</v>
      </c>
      <c r="I208" s="18"/>
      <c r="J208" s="18"/>
      <c r="K208" s="18"/>
      <c r="L208" s="19">
        <f t="shared" si="0"/>
        <v>653732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3353</v>
      </c>
      <c r="H209" s="18"/>
      <c r="I209" s="18"/>
      <c r="J209" s="18"/>
      <c r="K209" s="18"/>
      <c r="L209" s="19">
        <f>SUM(F209:K209)</f>
        <v>3353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4850514</v>
      </c>
      <c r="G211" s="41">
        <f t="shared" si="1"/>
        <v>2520274</v>
      </c>
      <c r="H211" s="41">
        <f t="shared" si="1"/>
        <v>2160123</v>
      </c>
      <c r="I211" s="41">
        <f t="shared" si="1"/>
        <v>317820</v>
      </c>
      <c r="J211" s="41">
        <f t="shared" si="1"/>
        <v>80621</v>
      </c>
      <c r="K211" s="41">
        <f t="shared" si="1"/>
        <v>6696</v>
      </c>
      <c r="L211" s="41">
        <f t="shared" si="1"/>
        <v>9936048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124800+2826151</f>
        <v>2950951</v>
      </c>
      <c r="G215" s="18">
        <f>39232+1275139</f>
        <v>1314371</v>
      </c>
      <c r="H215" s="18">
        <f>1071+44840</f>
        <v>45911</v>
      </c>
      <c r="I215" s="18">
        <f>763+79010</f>
        <v>79773</v>
      </c>
      <c r="J215" s="18">
        <f>1228+44536</f>
        <v>45764</v>
      </c>
      <c r="K215" s="18"/>
      <c r="L215" s="19">
        <f>SUM(F215:K215)</f>
        <v>4436770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47020+17072+1107321</f>
        <v>1171413</v>
      </c>
      <c r="G216" s="18">
        <f>15382+8583+666720</f>
        <v>690685</v>
      </c>
      <c r="H216" s="18">
        <f>376592+363+1139</f>
        <v>378094</v>
      </c>
      <c r="I216" s="18">
        <f>82+14064</f>
        <v>14146</v>
      </c>
      <c r="J216" s="18">
        <v>6260</v>
      </c>
      <c r="K216" s="18"/>
      <c r="L216" s="19">
        <f>SUM(F216:K216)</f>
        <v>2260598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128142</v>
      </c>
      <c r="G218" s="18">
        <v>32550</v>
      </c>
      <c r="H218" s="18">
        <v>7706</v>
      </c>
      <c r="I218" s="18">
        <v>6831</v>
      </c>
      <c r="J218" s="18"/>
      <c r="K218" s="18">
        <v>13078</v>
      </c>
      <c r="L218" s="19">
        <f>SUM(F218:K218)</f>
        <v>188307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328312</v>
      </c>
      <c r="G220" s="18">
        <f>-12+128235</f>
        <v>128223</v>
      </c>
      <c r="H220" s="18">
        <f>859+4488</f>
        <v>5347</v>
      </c>
      <c r="I220" s="18">
        <f>529+4065</f>
        <v>4594</v>
      </c>
      <c r="J220" s="18"/>
      <c r="K220" s="18"/>
      <c r="L220" s="19">
        <f t="shared" ref="L220:L226" si="2">SUM(F220:K220)</f>
        <v>466476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33061+62747</f>
        <v>95808</v>
      </c>
      <c r="G221" s="18">
        <f>12029+32934</f>
        <v>44963</v>
      </c>
      <c r="H221" s="18">
        <f>7261+1438</f>
        <v>8699</v>
      </c>
      <c r="I221" s="18">
        <v>11246</v>
      </c>
      <c r="J221" s="18">
        <v>2133</v>
      </c>
      <c r="K221" s="18"/>
      <c r="L221" s="19">
        <f t="shared" si="2"/>
        <v>162849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5501+420+252</f>
        <v>6173</v>
      </c>
      <c r="G222" s="18">
        <f>632+43+26</f>
        <v>701</v>
      </c>
      <c r="H222" s="18">
        <f>1584+2189+2658+12662+300769</f>
        <v>319862</v>
      </c>
      <c r="I222" s="18">
        <v>645</v>
      </c>
      <c r="J222" s="18"/>
      <c r="K222" s="18">
        <v>3541</v>
      </c>
      <c r="L222" s="19">
        <f t="shared" si="2"/>
        <v>330922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420753</v>
      </c>
      <c r="G223" s="18">
        <f>881+226693</f>
        <v>227574</v>
      </c>
      <c r="H223" s="18">
        <f>3697+15783</f>
        <v>19480</v>
      </c>
      <c r="I223" s="18">
        <f>901+1247</f>
        <v>2148</v>
      </c>
      <c r="J223" s="18"/>
      <c r="K223" s="18">
        <v>2318</v>
      </c>
      <c r="L223" s="19">
        <f t="shared" si="2"/>
        <v>672273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>
        <v>420</v>
      </c>
      <c r="L224" s="19">
        <f t="shared" si="2"/>
        <v>420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40280+229400</f>
        <v>269680</v>
      </c>
      <c r="G225" s="18">
        <f>17386+142451</f>
        <v>159837</v>
      </c>
      <c r="H225" s="18">
        <f>13467+148310</f>
        <v>161777</v>
      </c>
      <c r="I225" s="18">
        <f>817+1762+272756</f>
        <v>275335</v>
      </c>
      <c r="J225" s="18">
        <v>45385</v>
      </c>
      <c r="K225" s="18"/>
      <c r="L225" s="19">
        <f t="shared" si="2"/>
        <v>912014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295160+133750+6271+16293+7</f>
        <v>451481</v>
      </c>
      <c r="I226" s="18"/>
      <c r="J226" s="18"/>
      <c r="K226" s="18"/>
      <c r="L226" s="19">
        <f t="shared" si="2"/>
        <v>451481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>
        <v>2658</v>
      </c>
      <c r="H227" s="18">
        <v>1490</v>
      </c>
      <c r="I227" s="18"/>
      <c r="J227" s="18"/>
      <c r="K227" s="18"/>
      <c r="L227" s="19">
        <f>SUM(F227:K227)</f>
        <v>4148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5371232</v>
      </c>
      <c r="G229" s="41">
        <f>SUM(G215:G228)</f>
        <v>2601562</v>
      </c>
      <c r="H229" s="41">
        <f>SUM(H215:H228)</f>
        <v>1399847</v>
      </c>
      <c r="I229" s="41">
        <f>SUM(I215:I228)</f>
        <v>394718</v>
      </c>
      <c r="J229" s="41">
        <f>SUM(J215:J228)</f>
        <v>99542</v>
      </c>
      <c r="K229" s="41">
        <f t="shared" si="3"/>
        <v>19357</v>
      </c>
      <c r="L229" s="41">
        <f t="shared" si="3"/>
        <v>9886258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163844+3957913</f>
        <v>4121757</v>
      </c>
      <c r="G233" s="18">
        <f>51506+2036297</f>
        <v>2087803</v>
      </c>
      <c r="H233" s="18">
        <f>1406+72611</f>
        <v>74017</v>
      </c>
      <c r="I233" s="18">
        <f>1002+160744</f>
        <v>161746</v>
      </c>
      <c r="J233" s="18">
        <f>1612+29138</f>
        <v>30750</v>
      </c>
      <c r="K233" s="18">
        <v>1840</v>
      </c>
      <c r="L233" s="19">
        <f>SUM(F233:K233)</f>
        <v>6477913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64092+1124214</f>
        <v>1188306</v>
      </c>
      <c r="G234" s="18">
        <f>23965+763714</f>
        <v>787679</v>
      </c>
      <c r="H234" s="18">
        <f>376955+889</f>
        <v>377844</v>
      </c>
      <c r="I234" s="18">
        <f>82+7550</f>
        <v>7632</v>
      </c>
      <c r="J234" s="18">
        <v>1280</v>
      </c>
      <c r="K234" s="18"/>
      <c r="L234" s="19">
        <f>SUM(F234:K234)</f>
        <v>2362741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72045</v>
      </c>
      <c r="I235" s="18"/>
      <c r="J235" s="18"/>
      <c r="K235" s="18"/>
      <c r="L235" s="19">
        <f>SUM(F235:K235)</f>
        <v>72045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192212</v>
      </c>
      <c r="G236" s="18">
        <v>48825</v>
      </c>
      <c r="H236" s="18">
        <v>121119</v>
      </c>
      <c r="I236" s="18">
        <v>21821</v>
      </c>
      <c r="J236" s="18">
        <v>8421</v>
      </c>
      <c r="K236" s="18">
        <v>16018</v>
      </c>
      <c r="L236" s="19">
        <f>SUM(F236:K236)</f>
        <v>408416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608737</v>
      </c>
      <c r="G238" s="18">
        <f>-16+303453</f>
        <v>303437</v>
      </c>
      <c r="H238" s="18">
        <f>1128+5891</f>
        <v>7019</v>
      </c>
      <c r="I238" s="18">
        <f>694+14801</f>
        <v>15495</v>
      </c>
      <c r="J238" s="18"/>
      <c r="K238" s="18">
        <v>840</v>
      </c>
      <c r="L238" s="19">
        <f t="shared" ref="L238:L244" si="4">SUM(F238:K238)</f>
        <v>935528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33061+66172</f>
        <v>99233</v>
      </c>
      <c r="G239" s="18">
        <f>12029+52490</f>
        <v>64519</v>
      </c>
      <c r="H239" s="18">
        <v>9532</v>
      </c>
      <c r="I239" s="18">
        <v>44669</v>
      </c>
      <c r="J239" s="18">
        <v>200</v>
      </c>
      <c r="K239" s="18"/>
      <c r="L239" s="19">
        <f t="shared" si="4"/>
        <v>218153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7222+551+331</f>
        <v>8104</v>
      </c>
      <c r="G240" s="18">
        <f>802+56+34</f>
        <v>892</v>
      </c>
      <c r="H240" s="18">
        <f>16623+394866+3489+2874+2079</f>
        <v>419931</v>
      </c>
      <c r="I240" s="18">
        <v>847</v>
      </c>
      <c r="J240" s="18"/>
      <c r="K240" s="18">
        <v>4648</v>
      </c>
      <c r="L240" s="19">
        <f t="shared" si="4"/>
        <v>434422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438307</v>
      </c>
      <c r="G241" s="18">
        <f>1157+256405</f>
        <v>257562</v>
      </c>
      <c r="H241" s="18">
        <f>4854+47627</f>
        <v>52481</v>
      </c>
      <c r="I241" s="18">
        <v>3224</v>
      </c>
      <c r="J241" s="18">
        <v>807</v>
      </c>
      <c r="K241" s="18">
        <v>18247</v>
      </c>
      <c r="L241" s="19">
        <f t="shared" si="4"/>
        <v>770628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>
        <v>551</v>
      </c>
      <c r="L242" s="19">
        <f t="shared" si="4"/>
        <v>551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52882+290221</f>
        <v>343103</v>
      </c>
      <c r="G243" s="18">
        <f>22825+152500</f>
        <v>175325</v>
      </c>
      <c r="H243" s="18">
        <f>17680+160513</f>
        <v>178193</v>
      </c>
      <c r="I243" s="18">
        <f>1072+2314+524631</f>
        <v>528017</v>
      </c>
      <c r="J243" s="18">
        <v>112803</v>
      </c>
      <c r="K243" s="18"/>
      <c r="L243" s="19">
        <f t="shared" si="4"/>
        <v>1337441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387502+133750+6271+110179</f>
        <v>637702</v>
      </c>
      <c r="I244" s="18"/>
      <c r="J244" s="18"/>
      <c r="K244" s="18"/>
      <c r="L244" s="19">
        <f t="shared" si="4"/>
        <v>637702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>
        <v>3489</v>
      </c>
      <c r="H245" s="18"/>
      <c r="I245" s="18"/>
      <c r="J245" s="18"/>
      <c r="K245" s="18"/>
      <c r="L245" s="19">
        <f>SUM(F245:K245)</f>
        <v>3489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6999759</v>
      </c>
      <c r="G247" s="41">
        <f t="shared" si="5"/>
        <v>3729531</v>
      </c>
      <c r="H247" s="41">
        <f t="shared" si="5"/>
        <v>1949883</v>
      </c>
      <c r="I247" s="41">
        <f t="shared" si="5"/>
        <v>783451</v>
      </c>
      <c r="J247" s="41">
        <f t="shared" si="5"/>
        <v>154261</v>
      </c>
      <c r="K247" s="41">
        <f t="shared" si="5"/>
        <v>42144</v>
      </c>
      <c r="L247" s="41">
        <f t="shared" si="5"/>
        <v>13659029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60641</v>
      </c>
      <c r="G251" s="18">
        <v>8414</v>
      </c>
      <c r="H251" s="18">
        <v>999</v>
      </c>
      <c r="I251" s="18">
        <v>540</v>
      </c>
      <c r="J251" s="18">
        <v>266</v>
      </c>
      <c r="K251" s="18"/>
      <c r="L251" s="19">
        <f t="shared" si="6"/>
        <v>70860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60641</v>
      </c>
      <c r="G256" s="41">
        <f t="shared" si="7"/>
        <v>8414</v>
      </c>
      <c r="H256" s="41">
        <f t="shared" si="7"/>
        <v>999</v>
      </c>
      <c r="I256" s="41">
        <f t="shared" si="7"/>
        <v>540</v>
      </c>
      <c r="J256" s="41">
        <f t="shared" si="7"/>
        <v>266</v>
      </c>
      <c r="K256" s="41">
        <f t="shared" si="7"/>
        <v>0</v>
      </c>
      <c r="L256" s="41">
        <f>SUM(F256:K256)</f>
        <v>70860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17282146</v>
      </c>
      <c r="G257" s="41">
        <f t="shared" si="8"/>
        <v>8859781</v>
      </c>
      <c r="H257" s="41">
        <f t="shared" si="8"/>
        <v>5510852</v>
      </c>
      <c r="I257" s="41">
        <f t="shared" si="8"/>
        <v>1496529</v>
      </c>
      <c r="J257" s="41">
        <f t="shared" si="8"/>
        <v>334690</v>
      </c>
      <c r="K257" s="41">
        <f t="shared" si="8"/>
        <v>68197</v>
      </c>
      <c r="L257" s="41">
        <f t="shared" si="8"/>
        <v>33552195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625000</v>
      </c>
      <c r="L260" s="19">
        <f>SUM(F260:K260)</f>
        <v>625000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182700</v>
      </c>
      <c r="L261" s="19">
        <f>SUM(F261:K261)</f>
        <v>182700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225</v>
      </c>
      <c r="L263" s="19">
        <f>SUM(F263:K263)</f>
        <v>225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807925</v>
      </c>
      <c r="L270" s="41">
        <f t="shared" si="9"/>
        <v>807925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17282146</v>
      </c>
      <c r="G271" s="42">
        <f t="shared" si="11"/>
        <v>8859781</v>
      </c>
      <c r="H271" s="42">
        <f t="shared" si="11"/>
        <v>5510852</v>
      </c>
      <c r="I271" s="42">
        <f t="shared" si="11"/>
        <v>1496529</v>
      </c>
      <c r="J271" s="42">
        <f t="shared" si="11"/>
        <v>334690</v>
      </c>
      <c r="K271" s="42">
        <f t="shared" si="11"/>
        <v>876122</v>
      </c>
      <c r="L271" s="42">
        <f t="shared" si="11"/>
        <v>34360120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6625+140443</f>
        <v>147068</v>
      </c>
      <c r="G276" s="18">
        <f>714+92+68256</f>
        <v>69062</v>
      </c>
      <c r="H276" s="18">
        <f>5522+3875</f>
        <v>9397</v>
      </c>
      <c r="I276" s="18">
        <f>7861-4898</f>
        <v>2963</v>
      </c>
      <c r="J276" s="18">
        <v>39660</v>
      </c>
      <c r="K276" s="18"/>
      <c r="L276" s="19">
        <f>SUM(F276:K276)</f>
        <v>268150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7956+114728</f>
        <v>122684</v>
      </c>
      <c r="G277" s="18">
        <f>3744+35556</f>
        <v>39300</v>
      </c>
      <c r="H277" s="18"/>
      <c r="I277" s="18"/>
      <c r="J277" s="18"/>
      <c r="K277" s="18"/>
      <c r="L277" s="19">
        <f>SUM(F277:K277)</f>
        <v>161984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15628+39450+16825+3085+400+4675+48+1661</f>
        <v>81772</v>
      </c>
      <c r="G282" s="18">
        <f>2323+3060+2738+236+563+73+47+283</f>
        <v>9323</v>
      </c>
      <c r="H282" s="18">
        <f>16200+9185+2019+2819+683</f>
        <v>30906</v>
      </c>
      <c r="I282" s="18">
        <f>3733+3173</f>
        <v>6906</v>
      </c>
      <c r="J282" s="18"/>
      <c r="K282" s="18"/>
      <c r="L282" s="19">
        <f t="shared" si="12"/>
        <v>128907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351524</v>
      </c>
      <c r="G290" s="42">
        <f t="shared" si="13"/>
        <v>117685</v>
      </c>
      <c r="H290" s="42">
        <f t="shared" si="13"/>
        <v>40303</v>
      </c>
      <c r="I290" s="42">
        <f t="shared" si="13"/>
        <v>9869</v>
      </c>
      <c r="J290" s="42">
        <f t="shared" si="13"/>
        <v>39660</v>
      </c>
      <c r="K290" s="42">
        <f t="shared" si="13"/>
        <v>0</v>
      </c>
      <c r="L290" s="41">
        <f t="shared" si="13"/>
        <v>559041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>
        <v>2788</v>
      </c>
      <c r="J295" s="18"/>
      <c r="K295" s="18"/>
      <c r="L295" s="19">
        <f>SUM(F295:K295)</f>
        <v>2788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8214+138498</f>
        <v>146712</v>
      </c>
      <c r="G296" s="18">
        <f>3866+76466</f>
        <v>80332</v>
      </c>
      <c r="H296" s="18"/>
      <c r="I296" s="18"/>
      <c r="J296" s="18"/>
      <c r="K296" s="18"/>
      <c r="L296" s="19">
        <f>SUM(F296:K296)</f>
        <v>227044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>
        <v>12</v>
      </c>
      <c r="J300" s="18">
        <v>426</v>
      </c>
      <c r="K300" s="18"/>
      <c r="L300" s="19">
        <f t="shared" ref="L300:L306" si="14">SUM(F300:K300)</f>
        <v>438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8413+3184+200+4826+49</f>
        <v>16672</v>
      </c>
      <c r="G301" s="18">
        <f>1369+244+281+37+49+5584</f>
        <v>7564</v>
      </c>
      <c r="H301" s="18">
        <f>2085+342+1410+705</f>
        <v>4542</v>
      </c>
      <c r="I301" s="18">
        <f>1586+46</f>
        <v>1632</v>
      </c>
      <c r="J301" s="18">
        <v>140</v>
      </c>
      <c r="K301" s="18"/>
      <c r="L301" s="19">
        <f t="shared" si="14"/>
        <v>30550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v>-1000</v>
      </c>
      <c r="I305" s="18"/>
      <c r="J305" s="18"/>
      <c r="K305" s="18"/>
      <c r="L305" s="19">
        <f t="shared" si="14"/>
        <v>-1000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163384</v>
      </c>
      <c r="G309" s="42">
        <f t="shared" si="15"/>
        <v>87896</v>
      </c>
      <c r="H309" s="42">
        <f t="shared" si="15"/>
        <v>3542</v>
      </c>
      <c r="I309" s="42">
        <f t="shared" si="15"/>
        <v>4432</v>
      </c>
      <c r="J309" s="42">
        <f t="shared" si="15"/>
        <v>566</v>
      </c>
      <c r="K309" s="42">
        <f t="shared" si="15"/>
        <v>0</v>
      </c>
      <c r="L309" s="41">
        <f t="shared" si="15"/>
        <v>259820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2263</v>
      </c>
      <c r="J314" s="18"/>
      <c r="K314" s="18"/>
      <c r="L314" s="19">
        <f>SUM(F314:K314)</f>
        <v>2263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10945+74752</f>
        <v>85697</v>
      </c>
      <c r="G315" s="18">
        <f>5151+26073</f>
        <v>31224</v>
      </c>
      <c r="H315" s="18"/>
      <c r="I315" s="18"/>
      <c r="J315" s="18"/>
      <c r="K315" s="18"/>
      <c r="L315" s="19">
        <f>SUM(F315:K315)</f>
        <v>116921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-2490</v>
      </c>
      <c r="G317" s="18">
        <v>2050</v>
      </c>
      <c r="H317" s="18"/>
      <c r="I317" s="18"/>
      <c r="J317" s="18"/>
      <c r="K317" s="18"/>
      <c r="L317" s="19">
        <f>SUM(F317:K317)</f>
        <v>-440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>
        <f>804+2164</f>
        <v>2968</v>
      </c>
      <c r="J319" s="18">
        <v>1064</v>
      </c>
      <c r="K319" s="18"/>
      <c r="L319" s="19">
        <f t="shared" ref="L319:L325" si="16">SUM(F319:K319)</f>
        <v>4032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8413+4244+200+6431+66</f>
        <v>19354</v>
      </c>
      <c r="G320" s="18">
        <f>1369+325+281+37+65+5864</f>
        <v>7941</v>
      </c>
      <c r="H320" s="18">
        <f>2778+466+1410+931+64</f>
        <v>5649</v>
      </c>
      <c r="I320" s="18">
        <f>1586+808</f>
        <v>2394</v>
      </c>
      <c r="J320" s="18">
        <v>183</v>
      </c>
      <c r="K320" s="18"/>
      <c r="L320" s="19">
        <f t="shared" si="16"/>
        <v>35521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1020</v>
      </c>
      <c r="L323" s="19">
        <f t="shared" si="16"/>
        <v>1020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-1000</v>
      </c>
      <c r="I324" s="18"/>
      <c r="J324" s="18"/>
      <c r="K324" s="18"/>
      <c r="L324" s="19">
        <f t="shared" si="16"/>
        <v>-1000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102561</v>
      </c>
      <c r="G328" s="42">
        <f t="shared" si="17"/>
        <v>41215</v>
      </c>
      <c r="H328" s="42">
        <f t="shared" si="17"/>
        <v>4649</v>
      </c>
      <c r="I328" s="42">
        <f t="shared" si="17"/>
        <v>7625</v>
      </c>
      <c r="J328" s="42">
        <f t="shared" si="17"/>
        <v>1247</v>
      </c>
      <c r="K328" s="42">
        <f t="shared" si="17"/>
        <v>1020</v>
      </c>
      <c r="L328" s="41">
        <f t="shared" si="17"/>
        <v>158317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6075</v>
      </c>
      <c r="G333" s="18">
        <v>929</v>
      </c>
      <c r="H333" s="18">
        <v>2759</v>
      </c>
      <c r="I333" s="18"/>
      <c r="J333" s="18">
        <f>19973-9927</f>
        <v>10046</v>
      </c>
      <c r="K333" s="18">
        <v>476</v>
      </c>
      <c r="L333" s="19">
        <f t="shared" si="18"/>
        <v>20285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-5035</v>
      </c>
      <c r="G335" s="18">
        <v>4996</v>
      </c>
      <c r="H335" s="18"/>
      <c r="I335" s="18">
        <f>2946+37</f>
        <v>2983</v>
      </c>
      <c r="J335" s="18"/>
      <c r="K335" s="18"/>
      <c r="L335" s="19">
        <f t="shared" si="18"/>
        <v>2944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1040</v>
      </c>
      <c r="G337" s="41">
        <f t="shared" si="19"/>
        <v>5925</v>
      </c>
      <c r="H337" s="41">
        <f t="shared" si="19"/>
        <v>2759</v>
      </c>
      <c r="I337" s="41">
        <f t="shared" si="19"/>
        <v>2983</v>
      </c>
      <c r="J337" s="41">
        <f t="shared" si="19"/>
        <v>10046</v>
      </c>
      <c r="K337" s="41">
        <f t="shared" si="19"/>
        <v>476</v>
      </c>
      <c r="L337" s="41">
        <f t="shared" si="18"/>
        <v>23229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618509</v>
      </c>
      <c r="G338" s="41">
        <f t="shared" si="20"/>
        <v>252721</v>
      </c>
      <c r="H338" s="41">
        <f t="shared" si="20"/>
        <v>51253</v>
      </c>
      <c r="I338" s="41">
        <f t="shared" si="20"/>
        <v>24909</v>
      </c>
      <c r="J338" s="41">
        <f t="shared" si="20"/>
        <v>51519</v>
      </c>
      <c r="K338" s="41">
        <f t="shared" si="20"/>
        <v>1496</v>
      </c>
      <c r="L338" s="41">
        <f t="shared" si="20"/>
        <v>1000407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618509</v>
      </c>
      <c r="G352" s="41">
        <f>G338</f>
        <v>252721</v>
      </c>
      <c r="H352" s="41">
        <f>H338</f>
        <v>51253</v>
      </c>
      <c r="I352" s="41">
        <f>I338</f>
        <v>24909</v>
      </c>
      <c r="J352" s="41">
        <f>J338</f>
        <v>51519</v>
      </c>
      <c r="K352" s="47">
        <f>K338+K351</f>
        <v>1496</v>
      </c>
      <c r="L352" s="41">
        <f>L338+L351</f>
        <v>1000407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21515+82656</f>
        <v>104171</v>
      </c>
      <c r="G358" s="18">
        <f>11576+22889</f>
        <v>34465</v>
      </c>
      <c r="H358" s="18">
        <f>583+5136</f>
        <v>5719</v>
      </c>
      <c r="I358" s="18">
        <f>1862+108695</f>
        <v>110557</v>
      </c>
      <c r="J358" s="18">
        <f>7497+2222</f>
        <v>9719</v>
      </c>
      <c r="K358" s="18">
        <f>498+74</f>
        <v>572</v>
      </c>
      <c r="L358" s="13">
        <f>SUM(F358:K358)</f>
        <v>265203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17053+90211</f>
        <v>107264</v>
      </c>
      <c r="G359" s="18">
        <f>9175+50741</f>
        <v>59916</v>
      </c>
      <c r="H359" s="18">
        <f>462+5035</f>
        <v>5497</v>
      </c>
      <c r="I359" s="18">
        <f>1476+139967</f>
        <v>141443</v>
      </c>
      <c r="J359" s="18">
        <v>5942</v>
      </c>
      <c r="K359" s="18">
        <f>395+39</f>
        <v>434</v>
      </c>
      <c r="L359" s="19">
        <f>SUM(F359:K359)</f>
        <v>320496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22388+100164</f>
        <v>122552</v>
      </c>
      <c r="G360" s="18">
        <f>12045+49974</f>
        <v>62019</v>
      </c>
      <c r="H360" s="18">
        <f>606+9109</f>
        <v>9715</v>
      </c>
      <c r="I360" s="18">
        <f>1937+200785</f>
        <v>202722</v>
      </c>
      <c r="J360" s="18">
        <f>7801+3632</f>
        <v>11433</v>
      </c>
      <c r="K360" s="18">
        <f>519+73</f>
        <v>592</v>
      </c>
      <c r="L360" s="19">
        <f>SUM(F360:K360)</f>
        <v>409033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333987</v>
      </c>
      <c r="G362" s="47">
        <f t="shared" si="22"/>
        <v>156400</v>
      </c>
      <c r="H362" s="47">
        <f t="shared" si="22"/>
        <v>20931</v>
      </c>
      <c r="I362" s="47">
        <f t="shared" si="22"/>
        <v>454722</v>
      </c>
      <c r="J362" s="47">
        <f t="shared" si="22"/>
        <v>27094</v>
      </c>
      <c r="K362" s="47">
        <f t="shared" si="22"/>
        <v>1598</v>
      </c>
      <c r="L362" s="47">
        <f t="shared" si="22"/>
        <v>994732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101471</v>
      </c>
      <c r="G367" s="18">
        <v>126723</v>
      </c>
      <c r="H367" s="18">
        <v>187982</v>
      </c>
      <c r="I367" s="56">
        <f>SUM(F367:H367)</f>
        <v>416176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I358-F367</f>
        <v>9086</v>
      </c>
      <c r="G368" s="63">
        <f>I359-G367</f>
        <v>14720</v>
      </c>
      <c r="H368" s="63">
        <f>I360-H367</f>
        <v>14740</v>
      </c>
      <c r="I368" s="56">
        <f>SUM(F368:H368)</f>
        <v>38546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110557</v>
      </c>
      <c r="G369" s="47">
        <f>SUM(G367:G368)</f>
        <v>141443</v>
      </c>
      <c r="H369" s="47">
        <f>SUM(H367:H368)</f>
        <v>202722</v>
      </c>
      <c r="I369" s="47">
        <f>SUM(I367:I368)</f>
        <v>454722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81975</v>
      </c>
      <c r="L415" s="56">
        <f t="shared" si="27"/>
        <v>81975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81975</v>
      </c>
      <c r="L419" s="47">
        <f t="shared" si="28"/>
        <v>81975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81975</v>
      </c>
      <c r="L434" s="47">
        <f t="shared" si="32"/>
        <v>81975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f>538743-275000</f>
        <v>263743</v>
      </c>
      <c r="G445" s="18"/>
      <c r="H445" s="18"/>
      <c r="I445" s="56">
        <f t="shared" si="33"/>
        <v>263743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263743</v>
      </c>
      <c r="G446" s="13">
        <f>SUM(G439:G445)</f>
        <v>0</v>
      </c>
      <c r="H446" s="13">
        <f>SUM(H439:H445)</f>
        <v>0</v>
      </c>
      <c r="I446" s="13">
        <f>SUM(I439:I445)</f>
        <v>263743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538743-275000</f>
        <v>263743</v>
      </c>
      <c r="G459" s="18"/>
      <c r="H459" s="18"/>
      <c r="I459" s="56">
        <f t="shared" si="34"/>
        <v>263743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263743</v>
      </c>
      <c r="G460" s="83">
        <f>SUM(G454:G459)</f>
        <v>0</v>
      </c>
      <c r="H460" s="83">
        <f>SUM(H454:H459)</f>
        <v>0</v>
      </c>
      <c r="I460" s="83">
        <f>SUM(I454:I459)</f>
        <v>263743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263743</v>
      </c>
      <c r="G461" s="42">
        <f>G452+G460</f>
        <v>0</v>
      </c>
      <c r="H461" s="42">
        <f>H452+H460</f>
        <v>0</v>
      </c>
      <c r="I461" s="42">
        <f>I452+I460</f>
        <v>263743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f>1952285-1936-25000</f>
        <v>1925349</v>
      </c>
      <c r="G465" s="18">
        <v>168726</v>
      </c>
      <c r="H465" s="18">
        <v>334245</v>
      </c>
      <c r="I465" s="18"/>
      <c r="J465" s="18">
        <v>345718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36506692</v>
      </c>
      <c r="G468" s="18">
        <f>G193</f>
        <v>987164</v>
      </c>
      <c r="H468" s="18">
        <f>H193</f>
        <v>744731</v>
      </c>
      <c r="I468" s="18">
        <v>81975</v>
      </c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36506692</v>
      </c>
      <c r="G470" s="53">
        <f>SUM(G468:G469)</f>
        <v>987164</v>
      </c>
      <c r="H470" s="53">
        <f>SUM(H468:H469)</f>
        <v>744731</v>
      </c>
      <c r="I470" s="53">
        <f>SUM(I468:I469)</f>
        <v>81975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34360120</v>
      </c>
      <c r="G472" s="18">
        <f>L362</f>
        <v>994732</v>
      </c>
      <c r="H472" s="18">
        <f>L352</f>
        <v>1000407</v>
      </c>
      <c r="I472" s="18"/>
      <c r="J472" s="18">
        <v>81975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34360120</v>
      </c>
      <c r="G474" s="53">
        <f>SUM(G472:G473)</f>
        <v>994732</v>
      </c>
      <c r="H474" s="53">
        <f>SUM(H472:H473)</f>
        <v>1000407</v>
      </c>
      <c r="I474" s="53">
        <f>SUM(I472:I473)</f>
        <v>0</v>
      </c>
      <c r="J474" s="53">
        <f>SUM(J472:J473)</f>
        <v>81975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4071921</v>
      </c>
      <c r="G476" s="53">
        <f>(G465+G470)- G474</f>
        <v>161158</v>
      </c>
      <c r="H476" s="53">
        <f>(H465+H470)- H474</f>
        <v>78569</v>
      </c>
      <c r="I476" s="53">
        <f>(I465+I470)- I474</f>
        <v>81975</v>
      </c>
      <c r="J476" s="53">
        <f>(J465+J470)- J474</f>
        <v>263743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6015000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3.68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4725000</v>
      </c>
      <c r="G495" s="18"/>
      <c r="H495" s="18"/>
      <c r="I495" s="18"/>
      <c r="J495" s="18"/>
      <c r="K495" s="53">
        <f>SUM(F495:J495)</f>
        <v>4725000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625000</v>
      </c>
      <c r="G497" s="18"/>
      <c r="H497" s="18"/>
      <c r="I497" s="18"/>
      <c r="J497" s="18"/>
      <c r="K497" s="53">
        <f t="shared" si="35"/>
        <v>625000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4100000</v>
      </c>
      <c r="G498" s="204"/>
      <c r="H498" s="204"/>
      <c r="I498" s="204"/>
      <c r="J498" s="204"/>
      <c r="K498" s="205">
        <f t="shared" si="35"/>
        <v>4100000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737481</v>
      </c>
      <c r="G499" s="18"/>
      <c r="H499" s="18"/>
      <c r="I499" s="18"/>
      <c r="J499" s="18"/>
      <c r="K499" s="53">
        <f t="shared" si="35"/>
        <v>737481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4837481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4837481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620000</v>
      </c>
      <c r="G501" s="204"/>
      <c r="H501" s="204"/>
      <c r="I501" s="204"/>
      <c r="J501" s="204"/>
      <c r="K501" s="205">
        <f t="shared" si="35"/>
        <v>620000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162300</v>
      </c>
      <c r="G502" s="18"/>
      <c r="H502" s="18"/>
      <c r="I502" s="18"/>
      <c r="J502" s="18"/>
      <c r="K502" s="53">
        <f t="shared" si="35"/>
        <v>162300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782300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782300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F198+F277</f>
        <v>1221001</v>
      </c>
      <c r="G521" s="18">
        <f t="shared" ref="G521:K521" si="36">G198+G277</f>
        <v>694565</v>
      </c>
      <c r="H521" s="18">
        <f t="shared" si="36"/>
        <v>755881</v>
      </c>
      <c r="I521" s="18">
        <f t="shared" si="36"/>
        <v>9352</v>
      </c>
      <c r="J521" s="18">
        <f t="shared" si="36"/>
        <v>2211</v>
      </c>
      <c r="K521" s="18">
        <f t="shared" si="36"/>
        <v>0</v>
      </c>
      <c r="L521" s="88">
        <f>SUM(F521:K521)</f>
        <v>2683010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F234+F296</f>
        <v>1335018</v>
      </c>
      <c r="G522" s="18">
        <f t="shared" ref="G522:K522" si="37">G234+G296</f>
        <v>868011</v>
      </c>
      <c r="H522" s="18">
        <f t="shared" si="37"/>
        <v>377844</v>
      </c>
      <c r="I522" s="18">
        <f t="shared" si="37"/>
        <v>7632</v>
      </c>
      <c r="J522" s="18">
        <f t="shared" si="37"/>
        <v>1280</v>
      </c>
      <c r="K522" s="18">
        <f t="shared" si="37"/>
        <v>0</v>
      </c>
      <c r="L522" s="88">
        <f>SUM(F522:K522)</f>
        <v>2589785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F234+F315</f>
        <v>1274003</v>
      </c>
      <c r="G523" s="18">
        <f t="shared" ref="G523:K523" si="38">G234+G315</f>
        <v>818903</v>
      </c>
      <c r="H523" s="18">
        <f t="shared" si="38"/>
        <v>377844</v>
      </c>
      <c r="I523" s="18">
        <f t="shared" si="38"/>
        <v>7632</v>
      </c>
      <c r="J523" s="18">
        <f t="shared" si="38"/>
        <v>1280</v>
      </c>
      <c r="K523" s="18">
        <f t="shared" si="38"/>
        <v>0</v>
      </c>
      <c r="L523" s="88">
        <f>SUM(F523:K523)</f>
        <v>2479662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3830022</v>
      </c>
      <c r="G524" s="108">
        <f t="shared" ref="G524:L524" si="39">SUM(G521:G523)</f>
        <v>2381479</v>
      </c>
      <c r="H524" s="108">
        <f t="shared" si="39"/>
        <v>1511569</v>
      </c>
      <c r="I524" s="108">
        <f t="shared" si="39"/>
        <v>24616</v>
      </c>
      <c r="J524" s="108">
        <f t="shared" si="39"/>
        <v>4771</v>
      </c>
      <c r="K524" s="108">
        <f t="shared" si="39"/>
        <v>0</v>
      </c>
      <c r="L524" s="89">
        <f t="shared" si="39"/>
        <v>7752457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152253</v>
      </c>
      <c r="G526" s="18">
        <v>63503</v>
      </c>
      <c r="H526" s="18"/>
      <c r="I526" s="18"/>
      <c r="J526" s="18"/>
      <c r="K526" s="18"/>
      <c r="L526" s="88">
        <f>SUM(F526:K526)</f>
        <v>215756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80391</v>
      </c>
      <c r="G527" s="18">
        <v>35286</v>
      </c>
      <c r="H527" s="18"/>
      <c r="I527" s="18"/>
      <c r="J527" s="18"/>
      <c r="K527" s="18"/>
      <c r="L527" s="88">
        <f>SUM(F527:K527)</f>
        <v>115677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75758</v>
      </c>
      <c r="G528" s="18">
        <v>13814</v>
      </c>
      <c r="H528" s="18"/>
      <c r="I528" s="18"/>
      <c r="J528" s="18"/>
      <c r="K528" s="18"/>
      <c r="L528" s="88">
        <f>SUM(F528:K528)</f>
        <v>89572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308402</v>
      </c>
      <c r="G529" s="89">
        <f t="shared" ref="G529:L529" si="40">SUM(G526:G528)</f>
        <v>112603</v>
      </c>
      <c r="H529" s="89">
        <f t="shared" si="40"/>
        <v>0</v>
      </c>
      <c r="I529" s="89">
        <f t="shared" si="40"/>
        <v>0</v>
      </c>
      <c r="J529" s="89">
        <f t="shared" si="40"/>
        <v>0</v>
      </c>
      <c r="K529" s="89">
        <f t="shared" si="40"/>
        <v>0</v>
      </c>
      <c r="L529" s="89">
        <f t="shared" si="40"/>
        <v>421005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26861</v>
      </c>
      <c r="G531" s="18">
        <v>10297</v>
      </c>
      <c r="H531" s="18"/>
      <c r="I531" s="18"/>
      <c r="J531" s="18"/>
      <c r="K531" s="18"/>
      <c r="L531" s="88">
        <f>SUM(F531:K531)</f>
        <v>37158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28187</v>
      </c>
      <c r="G532" s="18">
        <v>7889</v>
      </c>
      <c r="H532" s="18"/>
      <c r="I532" s="18"/>
      <c r="J532" s="18"/>
      <c r="K532" s="18"/>
      <c r="L532" s="88">
        <f>SUM(F532:K532)</f>
        <v>36076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30767</v>
      </c>
      <c r="G533" s="18">
        <v>8739</v>
      </c>
      <c r="H533" s="18"/>
      <c r="I533" s="18"/>
      <c r="J533" s="18"/>
      <c r="K533" s="18"/>
      <c r="L533" s="88">
        <f>SUM(F533:K533)</f>
        <v>39506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85815</v>
      </c>
      <c r="G534" s="89">
        <f t="shared" ref="G534:L534" si="41">SUM(G531:G533)</f>
        <v>26925</v>
      </c>
      <c r="H534" s="89">
        <f t="shared" si="41"/>
        <v>0</v>
      </c>
      <c r="I534" s="89">
        <f t="shared" si="41"/>
        <v>0</v>
      </c>
      <c r="J534" s="89">
        <f t="shared" si="41"/>
        <v>0</v>
      </c>
      <c r="K534" s="89">
        <f t="shared" si="41"/>
        <v>0</v>
      </c>
      <c r="L534" s="89">
        <f t="shared" si="41"/>
        <v>112740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0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267499</v>
      </c>
      <c r="I541" s="18"/>
      <c r="J541" s="18"/>
      <c r="K541" s="18"/>
      <c r="L541" s="88">
        <f>SUM(F541:K541)</f>
        <v>267499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133750</v>
      </c>
      <c r="I542" s="18"/>
      <c r="J542" s="18"/>
      <c r="K542" s="18"/>
      <c r="L542" s="88">
        <f>SUM(F542:K542)</f>
        <v>133750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133750+337</f>
        <v>134087</v>
      </c>
      <c r="I543" s="18"/>
      <c r="J543" s="18"/>
      <c r="K543" s="18"/>
      <c r="L543" s="88">
        <f>SUM(F543:K543)</f>
        <v>134087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3">SUM(G541:G543)</f>
        <v>0</v>
      </c>
      <c r="H544" s="193">
        <f t="shared" si="43"/>
        <v>535336</v>
      </c>
      <c r="I544" s="193">
        <f t="shared" si="43"/>
        <v>0</v>
      </c>
      <c r="J544" s="193">
        <f t="shared" si="43"/>
        <v>0</v>
      </c>
      <c r="K544" s="193">
        <f t="shared" si="43"/>
        <v>0</v>
      </c>
      <c r="L544" s="193">
        <f t="shared" si="43"/>
        <v>535336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4224239</v>
      </c>
      <c r="G545" s="89">
        <f t="shared" ref="G545:L545" si="44">G524+G529+G534+G539+G544</f>
        <v>2521007</v>
      </c>
      <c r="H545" s="89">
        <f t="shared" si="44"/>
        <v>2046905</v>
      </c>
      <c r="I545" s="89">
        <f t="shared" si="44"/>
        <v>24616</v>
      </c>
      <c r="J545" s="89">
        <f t="shared" si="44"/>
        <v>4771</v>
      </c>
      <c r="K545" s="89">
        <f t="shared" si="44"/>
        <v>0</v>
      </c>
      <c r="L545" s="89">
        <f t="shared" si="44"/>
        <v>8821538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2683010</v>
      </c>
      <c r="G549" s="87">
        <f>L526</f>
        <v>215756</v>
      </c>
      <c r="H549" s="87">
        <f>L531</f>
        <v>37158</v>
      </c>
      <c r="I549" s="87">
        <f>L536</f>
        <v>0</v>
      </c>
      <c r="J549" s="87">
        <f>L541</f>
        <v>267499</v>
      </c>
      <c r="K549" s="87">
        <f>SUM(F549:J549)</f>
        <v>3203423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2589785</v>
      </c>
      <c r="G550" s="87">
        <f>L527</f>
        <v>115677</v>
      </c>
      <c r="H550" s="87">
        <f>L532</f>
        <v>36076</v>
      </c>
      <c r="I550" s="87">
        <f>L537</f>
        <v>0</v>
      </c>
      <c r="J550" s="87">
        <f>L542</f>
        <v>133750</v>
      </c>
      <c r="K550" s="87">
        <f>SUM(F550:J550)</f>
        <v>2875288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2479662</v>
      </c>
      <c r="G551" s="87">
        <f>L528</f>
        <v>89572</v>
      </c>
      <c r="H551" s="87">
        <f>L533</f>
        <v>39506</v>
      </c>
      <c r="I551" s="87">
        <f>L538</f>
        <v>0</v>
      </c>
      <c r="J551" s="87">
        <f>L543</f>
        <v>134087</v>
      </c>
      <c r="K551" s="87">
        <f>SUM(F551:J551)</f>
        <v>2742827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5">SUM(F549:F551)</f>
        <v>7752457</v>
      </c>
      <c r="G552" s="89">
        <f t="shared" si="45"/>
        <v>421005</v>
      </c>
      <c r="H552" s="89">
        <f t="shared" si="45"/>
        <v>112740</v>
      </c>
      <c r="I552" s="89">
        <f t="shared" si="45"/>
        <v>0</v>
      </c>
      <c r="J552" s="89">
        <f t="shared" si="45"/>
        <v>535336</v>
      </c>
      <c r="K552" s="89">
        <f t="shared" si="45"/>
        <v>8821538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6">SUM(F557:F559)</f>
        <v>0</v>
      </c>
      <c r="G560" s="108">
        <f t="shared" si="46"/>
        <v>0</v>
      </c>
      <c r="H560" s="108">
        <f t="shared" si="46"/>
        <v>0</v>
      </c>
      <c r="I560" s="108">
        <f t="shared" si="46"/>
        <v>0</v>
      </c>
      <c r="J560" s="108">
        <f t="shared" si="46"/>
        <v>0</v>
      </c>
      <c r="K560" s="108">
        <f t="shared" si="46"/>
        <v>0</v>
      </c>
      <c r="L560" s="89">
        <f t="shared" si="46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34144</v>
      </c>
      <c r="G562" s="18">
        <v>17166</v>
      </c>
      <c r="H562" s="18">
        <v>726</v>
      </c>
      <c r="I562" s="18">
        <v>163</v>
      </c>
      <c r="J562" s="18"/>
      <c r="K562" s="18"/>
      <c r="L562" s="88">
        <f>SUM(F562:K562)</f>
        <v>52199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17072</v>
      </c>
      <c r="G563" s="18">
        <v>8583</v>
      </c>
      <c r="H563" s="18">
        <v>363</v>
      </c>
      <c r="I563" s="18">
        <v>82</v>
      </c>
      <c r="J563" s="18"/>
      <c r="K563" s="18"/>
      <c r="L563" s="88">
        <f>SUM(F563:K563)</f>
        <v>26100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17072</v>
      </c>
      <c r="G564" s="18">
        <v>8583</v>
      </c>
      <c r="H564" s="18">
        <v>363</v>
      </c>
      <c r="I564" s="18">
        <v>82</v>
      </c>
      <c r="J564" s="18"/>
      <c r="K564" s="18"/>
      <c r="L564" s="88">
        <f>SUM(F564:K564)</f>
        <v>26100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7">SUM(F562:F564)</f>
        <v>68288</v>
      </c>
      <c r="G565" s="89">
        <f t="shared" si="47"/>
        <v>34332</v>
      </c>
      <c r="H565" s="89">
        <f t="shared" si="47"/>
        <v>1452</v>
      </c>
      <c r="I565" s="89">
        <f t="shared" si="47"/>
        <v>327</v>
      </c>
      <c r="J565" s="89">
        <f t="shared" si="47"/>
        <v>0</v>
      </c>
      <c r="K565" s="89">
        <f t="shared" si="47"/>
        <v>0</v>
      </c>
      <c r="L565" s="89">
        <f t="shared" si="47"/>
        <v>104399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8">SUM(G567:G569)</f>
        <v>0</v>
      </c>
      <c r="H570" s="193">
        <f t="shared" si="48"/>
        <v>0</v>
      </c>
      <c r="I570" s="193">
        <f t="shared" si="48"/>
        <v>0</v>
      </c>
      <c r="J570" s="193">
        <f t="shared" si="48"/>
        <v>0</v>
      </c>
      <c r="K570" s="193">
        <f t="shared" si="48"/>
        <v>0</v>
      </c>
      <c r="L570" s="193">
        <f t="shared" si="48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68288</v>
      </c>
      <c r="G571" s="89">
        <f t="shared" ref="G571:L571" si="49">G560+G565+G570</f>
        <v>34332</v>
      </c>
      <c r="H571" s="89">
        <f t="shared" si="49"/>
        <v>1452</v>
      </c>
      <c r="I571" s="89">
        <f t="shared" si="49"/>
        <v>327</v>
      </c>
      <c r="J571" s="89">
        <f t="shared" si="49"/>
        <v>0</v>
      </c>
      <c r="K571" s="89">
        <f t="shared" si="49"/>
        <v>0</v>
      </c>
      <c r="L571" s="89">
        <f t="shared" si="49"/>
        <v>104399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50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50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24876</v>
      </c>
      <c r="G579" s="18">
        <v>12438</v>
      </c>
      <c r="H579" s="18">
        <v>12438</v>
      </c>
      <c r="I579" s="87">
        <f t="shared" si="50"/>
        <v>49752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50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529892</v>
      </c>
      <c r="G582" s="18">
        <v>264946</v>
      </c>
      <c r="H582" s="18">
        <v>264946</v>
      </c>
      <c r="I582" s="87">
        <f t="shared" si="50"/>
        <v>1059784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50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72045</v>
      </c>
      <c r="I584" s="87">
        <f t="shared" si="50"/>
        <v>72045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50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372391</v>
      </c>
      <c r="I591" s="18">
        <v>295160</v>
      </c>
      <c r="J591" s="18">
        <f>387502+6667+240</f>
        <v>394409</v>
      </c>
      <c r="K591" s="104">
        <f t="shared" ref="K591:K597" si="51">SUM(H591:J591)</f>
        <v>1061960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H541</f>
        <v>267499</v>
      </c>
      <c r="I592" s="18">
        <f>H542</f>
        <v>133750</v>
      </c>
      <c r="J592" s="18">
        <f>H543</f>
        <v>134087</v>
      </c>
      <c r="K592" s="104">
        <f t="shared" si="51"/>
        <v>535336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43106</v>
      </c>
      <c r="K593" s="104">
        <f t="shared" si="51"/>
        <v>43106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15571</v>
      </c>
      <c r="J594" s="18">
        <v>54834</v>
      </c>
      <c r="K594" s="104">
        <f t="shared" si="51"/>
        <v>70405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1300</v>
      </c>
      <c r="I595" s="18">
        <v>729</v>
      </c>
      <c r="J595" s="18">
        <v>4995</v>
      </c>
      <c r="K595" s="104">
        <f t="shared" si="51"/>
        <v>7024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1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12542</v>
      </c>
      <c r="I597" s="18">
        <v>6271</v>
      </c>
      <c r="J597" s="18">
        <v>6271</v>
      </c>
      <c r="K597" s="104">
        <f t="shared" si="51"/>
        <v>25084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653732</v>
      </c>
      <c r="I598" s="108">
        <f>SUM(I591:I597)</f>
        <v>451481</v>
      </c>
      <c r="J598" s="108">
        <f>SUM(J591:J597)</f>
        <v>637702</v>
      </c>
      <c r="K598" s="108">
        <f>SUM(K591:K597)</f>
        <v>1742915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129998</v>
      </c>
      <c r="I604" s="18">
        <v>106050</v>
      </c>
      <c r="J604" s="18">
        <v>150161</v>
      </c>
      <c r="K604" s="104">
        <f>SUM(H604:J604)</f>
        <v>386209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129998</v>
      </c>
      <c r="I605" s="108">
        <f>SUM(I602:I604)</f>
        <v>106050</v>
      </c>
      <c r="J605" s="108">
        <f>SUM(J602:J604)</f>
        <v>150161</v>
      </c>
      <c r="K605" s="108">
        <f>SUM(K602:K604)</f>
        <v>386209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25506</v>
      </c>
      <c r="G611" s="18">
        <v>5554</v>
      </c>
      <c r="H611" s="18"/>
      <c r="I611" s="18">
        <v>1557</v>
      </c>
      <c r="J611" s="18"/>
      <c r="K611" s="18"/>
      <c r="L611" s="88">
        <f>SUM(F611:K611)</f>
        <v>32617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2">SUM(F611:F613)</f>
        <v>25506</v>
      </c>
      <c r="G614" s="108">
        <f t="shared" si="52"/>
        <v>5554</v>
      </c>
      <c r="H614" s="108">
        <f t="shared" si="52"/>
        <v>0</v>
      </c>
      <c r="I614" s="108">
        <f t="shared" si="52"/>
        <v>1557</v>
      </c>
      <c r="J614" s="108">
        <f t="shared" si="52"/>
        <v>0</v>
      </c>
      <c r="K614" s="108">
        <f t="shared" si="52"/>
        <v>0</v>
      </c>
      <c r="L614" s="89">
        <f t="shared" si="52"/>
        <v>32617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5286547</v>
      </c>
      <c r="H617" s="109">
        <f>SUM(F52)</f>
        <v>5286547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161158</v>
      </c>
      <c r="H618" s="109">
        <f>SUM(G52)</f>
        <v>161158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107078</v>
      </c>
      <c r="H619" s="109">
        <f>SUM(H52)</f>
        <v>107078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81975</v>
      </c>
      <c r="H620" s="109">
        <f>SUM(I52)</f>
        <v>81975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263743</v>
      </c>
      <c r="H621" s="109">
        <f>SUM(J52)</f>
        <v>263743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4071921</v>
      </c>
      <c r="H622" s="109">
        <f>F476</f>
        <v>4071921</v>
      </c>
      <c r="I622" s="121" t="s">
        <v>101</v>
      </c>
      <c r="J622" s="109">
        <f t="shared" ref="J622:J655" si="53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161158</v>
      </c>
      <c r="H623" s="109">
        <f>G476</f>
        <v>161158</v>
      </c>
      <c r="I623" s="121" t="s">
        <v>102</v>
      </c>
      <c r="J623" s="109">
        <f t="shared" si="53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78569</v>
      </c>
      <c r="H624" s="109">
        <f>H476</f>
        <v>78569</v>
      </c>
      <c r="I624" s="121" t="s">
        <v>103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81975</v>
      </c>
      <c r="H625" s="109">
        <f>I476</f>
        <v>81975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263743</v>
      </c>
      <c r="H626" s="109">
        <f>J476</f>
        <v>263743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36506692</v>
      </c>
      <c r="H627" s="104">
        <f>SUM(F468)</f>
        <v>36506692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987164</v>
      </c>
      <c r="H628" s="104">
        <f>SUM(G468)</f>
        <v>987164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744731</v>
      </c>
      <c r="H629" s="104">
        <f>SUM(H468)</f>
        <v>744731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81975</v>
      </c>
      <c r="H630" s="104">
        <f>SUM(I468)</f>
        <v>81975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34360120</v>
      </c>
      <c r="H632" s="104">
        <f>SUM(F472)</f>
        <v>34360120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1000407</v>
      </c>
      <c r="H633" s="104">
        <f>SUM(H472)</f>
        <v>1000407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454722</v>
      </c>
      <c r="H634" s="104">
        <f>I369</f>
        <v>454722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994732</v>
      </c>
      <c r="H635" s="104">
        <f>SUM(G472)</f>
        <v>994732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81975</v>
      </c>
      <c r="H638" s="164">
        <f>SUM(J472)</f>
        <v>81975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263743</v>
      </c>
      <c r="H639" s="104">
        <f>SUM(F461)</f>
        <v>263743</v>
      </c>
      <c r="I639" s="140" t="s">
        <v>857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263743</v>
      </c>
      <c r="H642" s="104">
        <f>SUM(I461)</f>
        <v>263743</v>
      </c>
      <c r="I642" s="140" t="s">
        <v>860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1742915</v>
      </c>
      <c r="H647" s="104">
        <f>L208+L226+L244</f>
        <v>1742915</v>
      </c>
      <c r="I647" s="140" t="s">
        <v>397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386209</v>
      </c>
      <c r="H648" s="104">
        <f>(J257+J338)-(J255+J336)</f>
        <v>386209</v>
      </c>
      <c r="I648" s="140" t="s">
        <v>703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653732</v>
      </c>
      <c r="H649" s="104">
        <f>H598</f>
        <v>653732</v>
      </c>
      <c r="I649" s="140" t="s">
        <v>389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451481</v>
      </c>
      <c r="H650" s="104">
        <f>I598</f>
        <v>451481</v>
      </c>
      <c r="I650" s="140" t="s">
        <v>390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637702</v>
      </c>
      <c r="H651" s="104">
        <f>J598</f>
        <v>637702</v>
      </c>
      <c r="I651" s="140" t="s">
        <v>391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225</v>
      </c>
      <c r="H652" s="104">
        <f>K263+K345</f>
        <v>225</v>
      </c>
      <c r="I652" s="140" t="s">
        <v>398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3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10760292</v>
      </c>
      <c r="G660" s="19">
        <f>(L229+L309+L359)</f>
        <v>10466574</v>
      </c>
      <c r="H660" s="19">
        <f>(L247+L328+L360)</f>
        <v>14226379</v>
      </c>
      <c r="I660" s="19">
        <f>SUM(F660:H660)</f>
        <v>35453245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175780.71558168432</v>
      </c>
      <c r="G661" s="19">
        <f>(L359/IF(SUM(L358:L360)=0,1,SUM(L358:L360))*(SUM(G97:G110)))</f>
        <v>212429.78481038107</v>
      </c>
      <c r="H661" s="19">
        <f>(L360/IF(SUM(L358:L360)=0,1,SUM(L358:L360))*(SUM(G97:G110)))</f>
        <v>271113.49960793462</v>
      </c>
      <c r="I661" s="19">
        <f>SUM(F661:H661)</f>
        <v>659324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653732</v>
      </c>
      <c r="G662" s="19">
        <f>(L226+L306)-(J226+J306)</f>
        <v>451481</v>
      </c>
      <c r="H662" s="19">
        <f>(L244+L325)-(J244+J325)</f>
        <v>637702</v>
      </c>
      <c r="I662" s="19">
        <f>SUM(F662:H662)</f>
        <v>1742915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717383</v>
      </c>
      <c r="G663" s="199">
        <f>SUM(G575:G587)+SUM(I602:I604)+L612</f>
        <v>383434</v>
      </c>
      <c r="H663" s="199">
        <f>SUM(H575:H587)+SUM(J602:J604)+L613</f>
        <v>499590</v>
      </c>
      <c r="I663" s="19">
        <f>SUM(F663:H663)</f>
        <v>1600407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9213396.2844183147</v>
      </c>
      <c r="G664" s="19">
        <f>G660-SUM(G661:G663)</f>
        <v>9419229.215189619</v>
      </c>
      <c r="H664" s="19">
        <f>H660-SUM(H661:H663)</f>
        <v>12817973.500392064</v>
      </c>
      <c r="I664" s="19">
        <f>I660-SUM(I661:I663)</f>
        <v>31450599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710.86</v>
      </c>
      <c r="G665" s="248">
        <v>876.19</v>
      </c>
      <c r="H665" s="248">
        <v>1160.57</v>
      </c>
      <c r="I665" s="19">
        <f>SUM(F665:H665)</f>
        <v>2747.62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12960.92</v>
      </c>
      <c r="G667" s="19">
        <f>ROUND(G664/G665,2)</f>
        <v>10750.21</v>
      </c>
      <c r="H667" s="19">
        <f>ROUND(H664/H665,2)</f>
        <v>11044.55</v>
      </c>
      <c r="I667" s="19">
        <f>ROUND(I664/I665,2)</f>
        <v>11446.49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-29.52</v>
      </c>
      <c r="I670" s="19">
        <f>SUM(F670:H670)</f>
        <v>-29.52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12960.92</v>
      </c>
      <c r="G672" s="19">
        <f>ROUND((G664+G669)/(G665+G670),2)</f>
        <v>10750.21</v>
      </c>
      <c r="H672" s="19">
        <f>ROUND((H664+H669)/(H665+H670),2)</f>
        <v>11332.81</v>
      </c>
      <c r="I672" s="19">
        <f>ROUND((I664+I669)/(I665+I670),2)</f>
        <v>11570.8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L43" sqref="L4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Goffstown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9669931</v>
      </c>
      <c r="C9" s="229">
        <f>'DOE25'!G197+'DOE25'!G215+'DOE25'!G233+'DOE25'!G276+'DOE25'!G295+'DOE25'!G314</f>
        <v>4728365</v>
      </c>
    </row>
    <row r="10" spans="1:3" x14ac:dyDescent="0.2">
      <c r="A10" t="s">
        <v>779</v>
      </c>
      <c r="B10" s="240">
        <v>9170826</v>
      </c>
      <c r="C10" s="240">
        <v>4444631</v>
      </c>
    </row>
    <row r="11" spans="1:3" x14ac:dyDescent="0.2">
      <c r="A11" t="s">
        <v>780</v>
      </c>
      <c r="B11" s="240">
        <v>144</v>
      </c>
      <c r="C11" s="240">
        <v>29</v>
      </c>
    </row>
    <row r="12" spans="1:3" x14ac:dyDescent="0.2">
      <c r="A12" t="s">
        <v>781</v>
      </c>
      <c r="B12" s="240">
        <v>498961</v>
      </c>
      <c r="C12" s="240">
        <v>283705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9669931</v>
      </c>
      <c r="C13" s="231">
        <f>SUM(C10:C12)</f>
        <v>4728365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3813129</v>
      </c>
      <c r="C18" s="229">
        <f>'DOE25'!G198+'DOE25'!G216+'DOE25'!G234+'DOE25'!G277+'DOE25'!G296+'DOE25'!G315</f>
        <v>2284485</v>
      </c>
    </row>
    <row r="19" spans="1:3" x14ac:dyDescent="0.2">
      <c r="A19" t="s">
        <v>779</v>
      </c>
      <c r="B19" s="240">
        <v>2310587</v>
      </c>
      <c r="C19" s="240">
        <v>1365702</v>
      </c>
    </row>
    <row r="20" spans="1:3" x14ac:dyDescent="0.2">
      <c r="A20" t="s">
        <v>780</v>
      </c>
      <c r="B20" s="240">
        <v>1263745</v>
      </c>
      <c r="C20" s="240">
        <v>778772</v>
      </c>
    </row>
    <row r="21" spans="1:3" x14ac:dyDescent="0.2">
      <c r="A21" t="s">
        <v>781</v>
      </c>
      <c r="B21" s="240">
        <v>238797</v>
      </c>
      <c r="C21" s="240">
        <v>140011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3813129</v>
      </c>
      <c r="C22" s="231">
        <f>SUM(C19:C21)</f>
        <v>2284485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343970</v>
      </c>
      <c r="C36" s="235">
        <f>'DOE25'!G200+'DOE25'!G218+'DOE25'!G236+'DOE25'!G279+'DOE25'!G298+'DOE25'!G317</f>
        <v>89010</v>
      </c>
    </row>
    <row r="37" spans="1:3" x14ac:dyDescent="0.2">
      <c r="A37" t="s">
        <v>779</v>
      </c>
      <c r="B37" s="240">
        <v>25506</v>
      </c>
      <c r="C37" s="240">
        <v>4893</v>
      </c>
    </row>
    <row r="38" spans="1:3" x14ac:dyDescent="0.2">
      <c r="A38" t="s">
        <v>780</v>
      </c>
      <c r="B38" s="240">
        <v>600</v>
      </c>
      <c r="C38" s="240">
        <v>66</v>
      </c>
    </row>
    <row r="39" spans="1:3" x14ac:dyDescent="0.2">
      <c r="A39" t="s">
        <v>781</v>
      </c>
      <c r="B39" s="240">
        <v>317864</v>
      </c>
      <c r="C39" s="240">
        <v>84051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343970</v>
      </c>
      <c r="C40" s="231">
        <f>SUM(C37:C39)</f>
        <v>89010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L22" sqref="L2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Goffstown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22652232</v>
      </c>
      <c r="D5" s="20">
        <f>SUM('DOE25'!L197:L200)+SUM('DOE25'!L215:L218)+SUM('DOE25'!L233:L236)-F5-G5</f>
        <v>22497332</v>
      </c>
      <c r="E5" s="243"/>
      <c r="F5" s="255">
        <f>SUM('DOE25'!J197:J200)+SUM('DOE25'!J215:J218)+SUM('DOE25'!J233:J236)</f>
        <v>123964</v>
      </c>
      <c r="G5" s="53">
        <f>SUM('DOE25'!K197:K200)+SUM('DOE25'!K215:K218)+SUM('DOE25'!K233:K236)</f>
        <v>30936</v>
      </c>
      <c r="H5" s="259"/>
    </row>
    <row r="6" spans="1:9" x14ac:dyDescent="0.2">
      <c r="A6" s="32">
        <v>2100</v>
      </c>
      <c r="B6" t="s">
        <v>801</v>
      </c>
      <c r="C6" s="245">
        <f t="shared" si="0"/>
        <v>2039593</v>
      </c>
      <c r="D6" s="20">
        <f>'DOE25'!L202+'DOE25'!L220+'DOE25'!L238-F6-G6</f>
        <v>2037718</v>
      </c>
      <c r="E6" s="243"/>
      <c r="F6" s="255">
        <f>'DOE25'!J202+'DOE25'!J220+'DOE25'!J238</f>
        <v>1035</v>
      </c>
      <c r="G6" s="53">
        <f>'DOE25'!K202+'DOE25'!K220+'DOE25'!K238</f>
        <v>840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628733</v>
      </c>
      <c r="D7" s="20">
        <f>'DOE25'!L203+'DOE25'!L221+'DOE25'!L239-F7-G7</f>
        <v>626145</v>
      </c>
      <c r="E7" s="243"/>
      <c r="F7" s="255">
        <f>'DOE25'!J203+'DOE25'!J221+'DOE25'!J239</f>
        <v>2588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587687</v>
      </c>
      <c r="D8" s="243"/>
      <c r="E8" s="20">
        <f>'DOE25'!L204+'DOE25'!L222+'DOE25'!L240-F8-G8-D9-D11</f>
        <v>575031</v>
      </c>
      <c r="F8" s="255">
        <f>'DOE25'!J204+'DOE25'!J222+'DOE25'!J240</f>
        <v>0</v>
      </c>
      <c r="G8" s="53">
        <f>'DOE25'!K204+'DOE25'!K222+'DOE25'!K240</f>
        <v>12656</v>
      </c>
      <c r="H8" s="259"/>
    </row>
    <row r="9" spans="1:9" x14ac:dyDescent="0.2">
      <c r="A9" s="32">
        <v>2310</v>
      </c>
      <c r="B9" t="s">
        <v>818</v>
      </c>
      <c r="C9" s="245">
        <f t="shared" si="0"/>
        <v>98312</v>
      </c>
      <c r="D9" s="244">
        <v>98312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9500</v>
      </c>
      <c r="D10" s="243"/>
      <c r="E10" s="244">
        <v>9500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496922</v>
      </c>
      <c r="D11" s="244">
        <v>496922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2155282</v>
      </c>
      <c r="D12" s="20">
        <f>'DOE25'!L205+'DOE25'!L223+'DOE25'!L241-F12-G12</f>
        <v>2132084</v>
      </c>
      <c r="E12" s="243"/>
      <c r="F12" s="255">
        <f>'DOE25'!J205+'DOE25'!J223+'DOE25'!J241</f>
        <v>933</v>
      </c>
      <c r="G12" s="53">
        <f>'DOE25'!K205+'DOE25'!K223+'DOE25'!K241</f>
        <v>22265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1500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1500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3067169</v>
      </c>
      <c r="D14" s="20">
        <f>'DOE25'!L207+'DOE25'!L225+'DOE25'!L243-F14-G14</f>
        <v>2861265</v>
      </c>
      <c r="E14" s="243"/>
      <c r="F14" s="255">
        <f>'DOE25'!J207+'DOE25'!J225+'DOE25'!J243</f>
        <v>205904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1742915</v>
      </c>
      <c r="D15" s="20">
        <f>'DOE25'!L208+'DOE25'!L226+'DOE25'!L244-F15-G15</f>
        <v>1742915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10990</v>
      </c>
      <c r="D16" s="243"/>
      <c r="E16" s="20">
        <f>'DOE25'!L209+'DOE25'!L227+'DOE25'!L245-F16-G16</f>
        <v>10990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70860</v>
      </c>
      <c r="D17" s="20">
        <f>'DOE25'!L251-F17-G17</f>
        <v>70594</v>
      </c>
      <c r="E17" s="243"/>
      <c r="F17" s="255">
        <f>'DOE25'!J251</f>
        <v>266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807700</v>
      </c>
      <c r="D25" s="243"/>
      <c r="E25" s="243"/>
      <c r="F25" s="258"/>
      <c r="G25" s="256"/>
      <c r="H25" s="257">
        <f>'DOE25'!L260+'DOE25'!L261+'DOE25'!L341+'DOE25'!L342</f>
        <v>807700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578556</v>
      </c>
      <c r="D29" s="20">
        <f>'DOE25'!L358+'DOE25'!L359+'DOE25'!L360-'DOE25'!I367-F29-G29</f>
        <v>549864</v>
      </c>
      <c r="E29" s="243"/>
      <c r="F29" s="255">
        <f>'DOE25'!J358+'DOE25'!J359+'DOE25'!J360</f>
        <v>27094</v>
      </c>
      <c r="G29" s="53">
        <f>'DOE25'!K358+'DOE25'!K359+'DOE25'!K360</f>
        <v>1598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1000407</v>
      </c>
      <c r="D31" s="20">
        <f>'DOE25'!L290+'DOE25'!L309+'DOE25'!L328+'DOE25'!L333+'DOE25'!L334+'DOE25'!L335-F31-G31</f>
        <v>947392</v>
      </c>
      <c r="E31" s="243"/>
      <c r="F31" s="255">
        <f>'DOE25'!J290+'DOE25'!J309+'DOE25'!J328+'DOE25'!J333+'DOE25'!J334+'DOE25'!J335</f>
        <v>51519</v>
      </c>
      <c r="G31" s="53">
        <f>'DOE25'!K290+'DOE25'!K309+'DOE25'!K328+'DOE25'!K333+'DOE25'!K334+'DOE25'!K335</f>
        <v>1496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34060543</v>
      </c>
      <c r="E33" s="246">
        <f>SUM(E5:E31)</f>
        <v>595521</v>
      </c>
      <c r="F33" s="246">
        <f>SUM(F5:F31)</f>
        <v>413303</v>
      </c>
      <c r="G33" s="246">
        <f>SUM(G5:G31)</f>
        <v>71291</v>
      </c>
      <c r="H33" s="246">
        <f>SUM(H5:H31)</f>
        <v>807700</v>
      </c>
    </row>
    <row r="35" spans="2:8" ht="12" thickBot="1" x14ac:dyDescent="0.25">
      <c r="B35" s="253" t="s">
        <v>847</v>
      </c>
      <c r="D35" s="254">
        <f>E33</f>
        <v>595521</v>
      </c>
      <c r="E35" s="249"/>
    </row>
    <row r="36" spans="2:8" ht="12" thickTop="1" x14ac:dyDescent="0.2">
      <c r="B36" t="s">
        <v>815</v>
      </c>
      <c r="D36" s="20">
        <f>D33</f>
        <v>34060543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I54" sqref="I5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Goffstown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5178484</v>
      </c>
      <c r="D8" s="95">
        <f>'DOE25'!G9</f>
        <v>116530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39920</v>
      </c>
      <c r="E11" s="95">
        <f>'DOE25'!H12</f>
        <v>105377</v>
      </c>
      <c r="F11" s="95">
        <f>'DOE25'!I12</f>
        <v>81975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4708</v>
      </c>
      <c r="E12" s="95">
        <f>'DOE25'!H13</f>
        <v>1701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35456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72607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263743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5286547</v>
      </c>
      <c r="D18" s="41">
        <f>SUM(D8:D17)</f>
        <v>161158</v>
      </c>
      <c r="E18" s="41">
        <f>SUM(E8:E17)</f>
        <v>107078</v>
      </c>
      <c r="F18" s="41">
        <f>SUM(F8:F17)</f>
        <v>81975</v>
      </c>
      <c r="G18" s="41">
        <f>SUM(G8:G17)</f>
        <v>263743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1133540</v>
      </c>
      <c r="D23" s="95">
        <f>'DOE25'!G24</f>
        <v>0</v>
      </c>
      <c r="E23" s="95">
        <f>'DOE25'!H24</f>
        <v>1901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14324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59200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6300</v>
      </c>
      <c r="D29" s="95">
        <f>'DOE25'!G30</f>
        <v>0</v>
      </c>
      <c r="E29" s="95">
        <f>'DOE25'!H30</f>
        <v>26608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1262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1214626</v>
      </c>
      <c r="D31" s="41">
        <f>SUM(D21:D30)</f>
        <v>0</v>
      </c>
      <c r="E31" s="41">
        <f>SUM(E21:E30)</f>
        <v>28509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35456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72607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275000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1189811</v>
      </c>
      <c r="D47" s="95">
        <f>'DOE25'!G48</f>
        <v>161158</v>
      </c>
      <c r="E47" s="95">
        <f>'DOE25'!H48</f>
        <v>78569</v>
      </c>
      <c r="F47" s="95">
        <f>'DOE25'!I48</f>
        <v>81975</v>
      </c>
      <c r="G47" s="95">
        <f>'DOE25'!J48</f>
        <v>263743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1914815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584232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4071921</v>
      </c>
      <c r="D50" s="41">
        <f>SUM(D34:D49)</f>
        <v>161158</v>
      </c>
      <c r="E50" s="41">
        <f>SUM(E34:E49)</f>
        <v>78569</v>
      </c>
      <c r="F50" s="41">
        <f>SUM(F34:F49)</f>
        <v>81975</v>
      </c>
      <c r="G50" s="41">
        <f>SUM(G34:G49)</f>
        <v>263743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5286547</v>
      </c>
      <c r="D51" s="41">
        <f>D50+D31</f>
        <v>161158</v>
      </c>
      <c r="E51" s="41">
        <f>E50+E31</f>
        <v>107078</v>
      </c>
      <c r="F51" s="41">
        <f>F50+F31</f>
        <v>81975</v>
      </c>
      <c r="G51" s="41">
        <f>G50+G31</f>
        <v>263743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18144294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7092405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659324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39905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7132310</v>
      </c>
      <c r="D62" s="130">
        <f>SUM(D57:D61)</f>
        <v>659324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25276604</v>
      </c>
      <c r="D63" s="22">
        <f>D56+D62</f>
        <v>659324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6828547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3165978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3190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9997715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393340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423026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22040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11924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838406</v>
      </c>
      <c r="D78" s="130">
        <f>SUM(D72:D77)</f>
        <v>11924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10836121</v>
      </c>
      <c r="D81" s="130">
        <f>SUM(D79:D80)+D78+D70</f>
        <v>11924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393967</v>
      </c>
      <c r="D88" s="95">
        <f>SUM('DOE25'!G153:G161)</f>
        <v>265598</v>
      </c>
      <c r="E88" s="95">
        <f>SUM('DOE25'!H153:H161)</f>
        <v>744731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50093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393967</v>
      </c>
      <c r="D91" s="131">
        <f>SUM(D85:D90)</f>
        <v>315691</v>
      </c>
      <c r="E91" s="131">
        <f>SUM(E85:E90)</f>
        <v>744731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225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81975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225</v>
      </c>
      <c r="E103" s="86">
        <f>SUM(E93:E102)</f>
        <v>0</v>
      </c>
      <c r="F103" s="86">
        <f>SUM(F93:F102)</f>
        <v>81975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36506692</v>
      </c>
      <c r="D104" s="86">
        <f>D63+D81+D91+D103</f>
        <v>987164</v>
      </c>
      <c r="E104" s="86">
        <f>E63+E81+E91+E103</f>
        <v>744731</v>
      </c>
      <c r="F104" s="86">
        <f>F63+F81+F91+F103</f>
        <v>81975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14807408</v>
      </c>
      <c r="D109" s="24" t="s">
        <v>289</v>
      </c>
      <c r="E109" s="95">
        <f>('DOE25'!L276)+('DOE25'!L295)+('DOE25'!L314)</f>
        <v>273201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7144365</v>
      </c>
      <c r="D110" s="24" t="s">
        <v>289</v>
      </c>
      <c r="E110" s="95">
        <f>('DOE25'!L277)+('DOE25'!L296)+('DOE25'!L315)</f>
        <v>505949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72045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628414</v>
      </c>
      <c r="D112" s="24" t="s">
        <v>289</v>
      </c>
      <c r="E112" s="95">
        <f>+('DOE25'!L279)+('DOE25'!L298)+('DOE25'!L317)</f>
        <v>-440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70860</v>
      </c>
      <c r="D114" s="24" t="s">
        <v>289</v>
      </c>
      <c r="E114" s="95">
        <f>+ SUM('DOE25'!L333:L335)</f>
        <v>23229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22723092</v>
      </c>
      <c r="D115" s="86">
        <f>SUM(D109:D114)</f>
        <v>0</v>
      </c>
      <c r="E115" s="86">
        <f>SUM(E109:E114)</f>
        <v>801939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2039593</v>
      </c>
      <c r="D118" s="24" t="s">
        <v>289</v>
      </c>
      <c r="E118" s="95">
        <f>+('DOE25'!L281)+('DOE25'!L300)+('DOE25'!L319)</f>
        <v>4470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628733</v>
      </c>
      <c r="D119" s="24" t="s">
        <v>289</v>
      </c>
      <c r="E119" s="95">
        <f>+('DOE25'!L282)+('DOE25'!L301)+('DOE25'!L320)</f>
        <v>194978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1182921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2155282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1500</v>
      </c>
      <c r="D122" s="24" t="s">
        <v>289</v>
      </c>
      <c r="E122" s="95">
        <f>+('DOE25'!L285)+('DOE25'!L304)+('DOE25'!L323)</f>
        <v>1020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3067169</v>
      </c>
      <c r="D123" s="24" t="s">
        <v>289</v>
      </c>
      <c r="E123" s="95">
        <f>+('DOE25'!L286)+('DOE25'!L305)+('DOE25'!L324)</f>
        <v>-2000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1742915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10990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994732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10829103</v>
      </c>
      <c r="D128" s="86">
        <f>SUM(D118:D127)</f>
        <v>994732</v>
      </c>
      <c r="E128" s="86">
        <f>SUM(E118:E127)</f>
        <v>198468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625000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182700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81975</v>
      </c>
    </row>
    <row r="135" spans="1:7" x14ac:dyDescent="0.2">
      <c r="A135" t="s">
        <v>233</v>
      </c>
      <c r="B135" s="32" t="s">
        <v>234</v>
      </c>
      <c r="C135" s="95">
        <f>'DOE25'!L263</f>
        <v>225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807925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81975</v>
      </c>
    </row>
    <row r="145" spans="1:9" ht="12.75" thickTop="1" thickBot="1" x14ac:dyDescent="0.25">
      <c r="A145" s="33" t="s">
        <v>244</v>
      </c>
      <c r="C145" s="86">
        <f>(C115+C128+C144)</f>
        <v>34360120</v>
      </c>
      <c r="D145" s="86">
        <f>(D115+D128+D144)</f>
        <v>994732</v>
      </c>
      <c r="E145" s="86">
        <f>(E115+E128+E144)</f>
        <v>1000407</v>
      </c>
      <c r="F145" s="86">
        <f>(F115+F128+F144)</f>
        <v>0</v>
      </c>
      <c r="G145" s="86">
        <f>(G115+G128+G144)</f>
        <v>81975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10/10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07/21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6015000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3.68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4725000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4725000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625000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625000</v>
      </c>
    </row>
    <row r="159" spans="1:9" x14ac:dyDescent="0.2">
      <c r="A159" s="22" t="s">
        <v>35</v>
      </c>
      <c r="B159" s="137">
        <f>'DOE25'!F498</f>
        <v>4100000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4100000</v>
      </c>
    </row>
    <row r="160" spans="1:9" x14ac:dyDescent="0.2">
      <c r="A160" s="22" t="s">
        <v>36</v>
      </c>
      <c r="B160" s="137">
        <f>'DOE25'!F499</f>
        <v>737481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737481</v>
      </c>
    </row>
    <row r="161" spans="1:7" x14ac:dyDescent="0.2">
      <c r="A161" s="22" t="s">
        <v>37</v>
      </c>
      <c r="B161" s="137">
        <f>'DOE25'!F500</f>
        <v>4837481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4837481</v>
      </c>
    </row>
    <row r="162" spans="1:7" x14ac:dyDescent="0.2">
      <c r="A162" s="22" t="s">
        <v>38</v>
      </c>
      <c r="B162" s="137">
        <f>'DOE25'!F501</f>
        <v>620000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620000</v>
      </c>
    </row>
    <row r="163" spans="1:7" x14ac:dyDescent="0.2">
      <c r="A163" s="22" t="s">
        <v>39</v>
      </c>
      <c r="B163" s="137">
        <f>'DOE25'!F502</f>
        <v>162300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162300</v>
      </c>
    </row>
    <row r="164" spans="1:7" x14ac:dyDescent="0.2">
      <c r="A164" s="22" t="s">
        <v>246</v>
      </c>
      <c r="B164" s="137">
        <f>'DOE25'!F503</f>
        <v>782300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782300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N18" sqref="N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Goffstown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12961</v>
      </c>
    </row>
    <row r="5" spans="1:4" x14ac:dyDescent="0.2">
      <c r="B5" t="s">
        <v>704</v>
      </c>
      <c r="C5" s="179">
        <f>IF('DOE25'!G665+'DOE25'!G670=0,0,ROUND('DOE25'!G672,0))</f>
        <v>10750</v>
      </c>
    </row>
    <row r="6" spans="1:4" x14ac:dyDescent="0.2">
      <c r="B6" t="s">
        <v>62</v>
      </c>
      <c r="C6" s="179">
        <f>IF('DOE25'!H665+'DOE25'!H670=0,0,ROUND('DOE25'!H672,0))</f>
        <v>11333</v>
      </c>
    </row>
    <row r="7" spans="1:4" x14ac:dyDescent="0.2">
      <c r="B7" t="s">
        <v>705</v>
      </c>
      <c r="C7" s="179">
        <f>IF('DOE25'!I665+'DOE25'!I670=0,0,ROUND('DOE25'!I672,0))</f>
        <v>11571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15080609</v>
      </c>
      <c r="D10" s="182">
        <f>ROUND((C10/$C$28)*100,1)</f>
        <v>43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7650314</v>
      </c>
      <c r="D11" s="182">
        <f>ROUND((C11/$C$28)*100,1)</f>
        <v>21.8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72045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627974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2044063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823711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1193911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2155282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2520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3065169</v>
      </c>
      <c r="D20" s="182">
        <f t="shared" si="0"/>
        <v>8.6999999999999993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1742915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94089</v>
      </c>
      <c r="D24" s="182">
        <f t="shared" si="0"/>
        <v>0.3</v>
      </c>
    </row>
    <row r="25" spans="1:4" x14ac:dyDescent="0.2">
      <c r="A25">
        <v>5120</v>
      </c>
      <c r="B25" t="s">
        <v>720</v>
      </c>
      <c r="C25" s="179">
        <f>ROUND('DOE25'!L261+'DOE25'!L342,0)</f>
        <v>182700</v>
      </c>
      <c r="D25" s="182">
        <f t="shared" si="0"/>
        <v>0.5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335408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35070710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35070710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625000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18144294</v>
      </c>
      <c r="D35" s="182">
        <f t="shared" ref="D35:D40" si="1">ROUND((C35/$C$41)*100,1)</f>
        <v>48.3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7132310</v>
      </c>
      <c r="D36" s="182">
        <f t="shared" si="1"/>
        <v>19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9994525</v>
      </c>
      <c r="D37" s="182">
        <f t="shared" si="1"/>
        <v>26.6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853520</v>
      </c>
      <c r="D38" s="182">
        <f t="shared" si="1"/>
        <v>2.2999999999999998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1454389</v>
      </c>
      <c r="D39" s="182">
        <f t="shared" si="1"/>
        <v>3.9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37579038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R26" sqref="R2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Goffstown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1</v>
      </c>
      <c r="B4" s="219">
        <v>32</v>
      </c>
      <c r="C4" s="285" t="s">
        <v>914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915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2014-10-08T16:50:39Z</cp:lastPrinted>
  <dcterms:created xsi:type="dcterms:W3CDTF">1997-12-04T19:04:30Z</dcterms:created>
  <dcterms:modified xsi:type="dcterms:W3CDTF">2014-12-05T16:06:50Z</dcterms:modified>
</cp:coreProperties>
</file>