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D50" i="2" s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3" i="10" s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E119" i="2" s="1"/>
  <c r="E128" i="2" s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132" i="2" s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6" i="10"/>
  <c r="L250" i="1"/>
  <c r="L332" i="1"/>
  <c r="L254" i="1"/>
  <c r="L268" i="1"/>
  <c r="L269" i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2" i="2"/>
  <c r="C113" i="2"/>
  <c r="E113" i="2"/>
  <c r="D115" i="2"/>
  <c r="F115" i="2"/>
  <c r="G115" i="2"/>
  <c r="E118" i="2"/>
  <c r="E120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K257" i="1" s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H642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C26" i="10"/>
  <c r="L351" i="1"/>
  <c r="C70" i="2"/>
  <c r="A40" i="12"/>
  <c r="D18" i="13"/>
  <c r="C18" i="13" s="1"/>
  <c r="D18" i="2"/>
  <c r="D17" i="13"/>
  <c r="C17" i="13" s="1"/>
  <c r="C91" i="2"/>
  <c r="F78" i="2"/>
  <c r="F81" i="2" s="1"/>
  <c r="D31" i="2"/>
  <c r="C78" i="2"/>
  <c r="G157" i="2"/>
  <c r="F18" i="2"/>
  <c r="E103" i="2"/>
  <c r="E62" i="2"/>
  <c r="E63" i="2" s="1"/>
  <c r="G62" i="2"/>
  <c r="D19" i="13"/>
  <c r="C19" i="13" s="1"/>
  <c r="E78" i="2"/>
  <c r="E81" i="2" s="1"/>
  <c r="L427" i="1"/>
  <c r="H112" i="1"/>
  <c r="J641" i="1"/>
  <c r="J639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F169" i="1"/>
  <c r="J140" i="1"/>
  <c r="F571" i="1"/>
  <c r="G22" i="2"/>
  <c r="H140" i="1"/>
  <c r="L393" i="1"/>
  <c r="F22" i="13"/>
  <c r="C22" i="13" s="1"/>
  <c r="H571" i="1"/>
  <c r="L560" i="1"/>
  <c r="G192" i="1"/>
  <c r="H192" i="1"/>
  <c r="E16" i="13"/>
  <c r="L570" i="1"/>
  <c r="J636" i="1"/>
  <c r="G36" i="2"/>
  <c r="L565" i="1"/>
  <c r="C138" i="2"/>
  <c r="C16" i="13"/>
  <c r="C81" i="2" l="1"/>
  <c r="A31" i="12"/>
  <c r="A13" i="12"/>
  <c r="J476" i="1"/>
  <c r="H626" i="1" s="1"/>
  <c r="L614" i="1"/>
  <c r="K598" i="1"/>
  <c r="G647" i="1" s="1"/>
  <c r="J649" i="1"/>
  <c r="J552" i="1"/>
  <c r="L544" i="1"/>
  <c r="I552" i="1"/>
  <c r="K545" i="1"/>
  <c r="J545" i="1"/>
  <c r="I545" i="1"/>
  <c r="K550" i="1"/>
  <c r="H552" i="1"/>
  <c r="L534" i="1"/>
  <c r="H545" i="1"/>
  <c r="K551" i="1"/>
  <c r="K552" i="1" s="1"/>
  <c r="F552" i="1"/>
  <c r="L524" i="1"/>
  <c r="K503" i="1"/>
  <c r="K500" i="1"/>
  <c r="G161" i="2"/>
  <c r="G156" i="2"/>
  <c r="G476" i="1"/>
  <c r="H623" i="1" s="1"/>
  <c r="J623" i="1" s="1"/>
  <c r="F476" i="1"/>
  <c r="H622" i="1" s="1"/>
  <c r="J622" i="1" s="1"/>
  <c r="J634" i="1"/>
  <c r="L362" i="1"/>
  <c r="G635" i="1" s="1"/>
  <c r="J635" i="1" s="1"/>
  <c r="H661" i="1"/>
  <c r="F661" i="1"/>
  <c r="D29" i="13"/>
  <c r="C29" i="13" s="1"/>
  <c r="D127" i="2"/>
  <c r="D128" i="2" s="1"/>
  <c r="D145" i="2" s="1"/>
  <c r="G661" i="1"/>
  <c r="K338" i="1"/>
  <c r="K352" i="1" s="1"/>
  <c r="L328" i="1"/>
  <c r="C12" i="10"/>
  <c r="J338" i="1"/>
  <c r="J352" i="1" s="1"/>
  <c r="H338" i="1"/>
  <c r="H352" i="1" s="1"/>
  <c r="L309" i="1"/>
  <c r="G338" i="1"/>
  <c r="G352" i="1" s="1"/>
  <c r="F338" i="1"/>
  <c r="F352" i="1" s="1"/>
  <c r="L290" i="1"/>
  <c r="E109" i="2"/>
  <c r="E115" i="2" s="1"/>
  <c r="E145" i="2" s="1"/>
  <c r="H25" i="13"/>
  <c r="C25" i="13" s="1"/>
  <c r="C25" i="10"/>
  <c r="K271" i="1"/>
  <c r="H33" i="13"/>
  <c r="C114" i="2"/>
  <c r="C111" i="2"/>
  <c r="C121" i="2"/>
  <c r="C112" i="2"/>
  <c r="L247" i="1"/>
  <c r="F257" i="1"/>
  <c r="F271" i="1" s="1"/>
  <c r="C10" i="10"/>
  <c r="J257" i="1"/>
  <c r="J271" i="1" s="1"/>
  <c r="I257" i="1"/>
  <c r="I271" i="1" s="1"/>
  <c r="H257" i="1"/>
  <c r="H271" i="1" s="1"/>
  <c r="E13" i="13"/>
  <c r="C13" i="13" s="1"/>
  <c r="C123" i="2"/>
  <c r="G257" i="1"/>
  <c r="G271" i="1" s="1"/>
  <c r="L229" i="1"/>
  <c r="C18" i="10"/>
  <c r="C120" i="2"/>
  <c r="C15" i="10"/>
  <c r="C110" i="2"/>
  <c r="C109" i="2"/>
  <c r="D7" i="13"/>
  <c r="C7" i="13" s="1"/>
  <c r="C19" i="10"/>
  <c r="C17" i="10"/>
  <c r="H647" i="1"/>
  <c r="D14" i="13"/>
  <c r="C14" i="13" s="1"/>
  <c r="E8" i="13"/>
  <c r="C8" i="13" s="1"/>
  <c r="D6" i="13"/>
  <c r="C6" i="13" s="1"/>
  <c r="C20" i="10"/>
  <c r="C122" i="2"/>
  <c r="D12" i="13"/>
  <c r="C12" i="13" s="1"/>
  <c r="D5" i="13"/>
  <c r="C5" i="13" s="1"/>
  <c r="C11" i="10"/>
  <c r="F662" i="1"/>
  <c r="I662" i="1" s="1"/>
  <c r="C21" i="10"/>
  <c r="L211" i="1"/>
  <c r="D15" i="13"/>
  <c r="C15" i="13" s="1"/>
  <c r="C124" i="2"/>
  <c r="C118" i="2"/>
  <c r="L401" i="1"/>
  <c r="C139" i="2" s="1"/>
  <c r="G645" i="1"/>
  <c r="J645" i="1" s="1"/>
  <c r="J640" i="1"/>
  <c r="I446" i="1"/>
  <c r="G642" i="1" s="1"/>
  <c r="D62" i="2"/>
  <c r="D63" i="2" s="1"/>
  <c r="J625" i="1"/>
  <c r="H52" i="1"/>
  <c r="H619" i="1" s="1"/>
  <c r="C62" i="2"/>
  <c r="C63" i="2" s="1"/>
  <c r="F112" i="1"/>
  <c r="C35" i="10"/>
  <c r="C36" i="10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I140" i="1"/>
  <c r="A22" i="12"/>
  <c r="G50" i="2"/>
  <c r="G51" i="2" s="1"/>
  <c r="J652" i="1"/>
  <c r="J642" i="1"/>
  <c r="G571" i="1"/>
  <c r="I434" i="1"/>
  <c r="G434" i="1"/>
  <c r="I663" i="1"/>
  <c r="C104" i="2" l="1"/>
  <c r="C141" i="2"/>
  <c r="C144" i="2" s="1"/>
  <c r="J647" i="1"/>
  <c r="L545" i="1"/>
  <c r="C27" i="10"/>
  <c r="C28" i="10" s="1"/>
  <c r="D24" i="10" s="1"/>
  <c r="I661" i="1"/>
  <c r="L338" i="1"/>
  <c r="L352" i="1" s="1"/>
  <c r="G633" i="1" s="1"/>
  <c r="J633" i="1" s="1"/>
  <c r="H660" i="1"/>
  <c r="H664" i="1" s="1"/>
  <c r="H672" i="1" s="1"/>
  <c r="C6" i="10" s="1"/>
  <c r="G660" i="1"/>
  <c r="G664" i="1" s="1"/>
  <c r="G672" i="1" s="1"/>
  <c r="C5" i="10" s="1"/>
  <c r="D31" i="13"/>
  <c r="C31" i="13" s="1"/>
  <c r="F660" i="1"/>
  <c r="F664" i="1" s="1"/>
  <c r="F672" i="1" s="1"/>
  <c r="C4" i="10" s="1"/>
  <c r="H648" i="1"/>
  <c r="J648" i="1" s="1"/>
  <c r="C115" i="2"/>
  <c r="E33" i="13"/>
  <c r="D35" i="13" s="1"/>
  <c r="L257" i="1"/>
  <c r="L271" i="1" s="1"/>
  <c r="G632" i="1" s="1"/>
  <c r="J632" i="1" s="1"/>
  <c r="C128" i="2"/>
  <c r="L408" i="1"/>
  <c r="G637" i="1" s="1"/>
  <c r="J637" i="1" s="1"/>
  <c r="G104" i="2"/>
  <c r="I193" i="1"/>
  <c r="G630" i="1" s="1"/>
  <c r="J630" i="1" s="1"/>
  <c r="D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67" i="1"/>
  <c r="G667" i="1"/>
  <c r="D33" i="13"/>
  <c r="D36" i="13" s="1"/>
  <c r="I660" i="1"/>
  <c r="I664" i="1" s="1"/>
  <c r="I672" i="1" s="1"/>
  <c r="C7" i="10" s="1"/>
  <c r="C145" i="2"/>
  <c r="F667" i="1"/>
  <c r="D13" i="10"/>
  <c r="D19" i="10"/>
  <c r="C30" i="10"/>
  <c r="D26" i="10"/>
  <c r="D25" i="10"/>
  <c r="D22" i="10"/>
  <c r="D10" i="10"/>
  <c r="D15" i="10"/>
  <c r="D21" i="10"/>
  <c r="D23" i="10"/>
  <c r="D20" i="10"/>
  <c r="D11" i="10"/>
  <c r="D16" i="10"/>
  <c r="D27" i="10"/>
  <c r="D18" i="10"/>
  <c r="D17" i="10"/>
  <c r="D12" i="10"/>
  <c r="C41" i="10"/>
  <c r="D38" i="10" s="1"/>
  <c r="I667" i="1" l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<sst xmlns="http://schemas.openxmlformats.org/spreadsheetml/2006/main" count="3960" uniqueCount="918">
  <si>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</si>
  <si>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</si>
  <si>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</si>
  <si>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</si>
  <si>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</si>
  <si>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</si>
  <si>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</si>
  <si>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</si>
  <si>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</si>
  <si>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</si>
  <si>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</si>
  <si>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</si>
  <si>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</si>
  <si>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</si>
  <si>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</si>
  <si>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</si>
  <si>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</si>
  <si>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</si>
  <si>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</si>
  <si>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</si>
  <si>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</si>
  <si>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</si>
  <si>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</si>
  <si>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</si>
  <si>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</si>
  <si>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</si>
  <si>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</si>
  <si>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</si>
  <si>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</si>
  <si>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</si>
  <si>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</si>
  <si>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</si>
  <si>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</si>
  <si>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</si>
  <si>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</si>
  <si>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</si>
  <si>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</si>
  <si>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</si>
  <si>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</si>
  <si>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</si>
  <si>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</si>
  <si>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</si>
  <si>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</si>
  <si>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</si>
  <si>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</si>
  <si>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</si>
  <si>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</si>
  <si>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</si>
  <si>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</si>
  <si>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</si>
  <si>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</si>
  <si>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</si>
  <si>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</si>
  <si>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</si>
  <si>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</si>
  <si>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</si>
  <si>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</si>
  <si>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</si>
  <si>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</si>
  <si>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</si>
  <si>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</si>
  <si>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</si>
  <si>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</si>
  <si>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</si>
  <si>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</si>
  <si>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</si>
  <si>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</si>
  <si>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</si>
  <si>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</si>
  <si>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</si>
  <si>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</si>
  <si>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</si>
  <si>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</si>
  <si>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</si>
  <si>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</si>
  <si>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</si>
  <si>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</si>
  <si>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</si>
  <si>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</si>
  <si>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</si>
  <si>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</si>
  <si>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</si>
  <si>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</si>
  <si>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</si>
  <si>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</si>
  <si>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</si>
  <si>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</si>
  <si>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</si>
  <si>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</si>
  <si>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</si>
  <si>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</si>
  <si>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</si>
  <si>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</si>
  <si>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</si>
  <si>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</si>
  <si>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</si>
  <si>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</si>
  <si>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</si>
  <si>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</si>
  <si>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</si>
  <si>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</si>
  <si>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</si>
  <si>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</si>
  <si>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</si>
  <si>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</si>
  <si>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</si>
  <si>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</si>
  <si>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</si>
  <si>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</si>
  <si>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</si>
  <si>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</si>
  <si>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</si>
  <si>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</si>
  <si>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</si>
  <si>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</si>
  <si>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</si>
  <si>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</si>
  <si>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</si>
  <si>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</si>
  <si>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</si>
  <si>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</si>
  <si>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</si>
  <si>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</si>
  <si>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</si>
  <si>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</si>
  <si>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</si>
  <si>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</si>
  <si>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</si>
  <si>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</si>
  <si>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</si>
  <si>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</si>
  <si>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</si>
  <si>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</si>
  <si>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</si>
  <si>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</si>
  <si>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</si>
  <si>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</si>
  <si>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</si>
  <si>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</si>
  <si>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</si>
  <si>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</si>
  <si>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</si>
  <si>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</si>
  <si>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</si>
  <si>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</si>
  <si>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</si>
  <si>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</si>
  <si>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</si>
  <si>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</si>
  <si>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</si>
  <si>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</si>
  <si>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</si>
  <si>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</si>
  <si>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</si>
  <si>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</si>
  <si>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</si>
  <si>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</si>
  <si>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</si>
  <si>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</si>
  <si>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</si>
  <si>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</si>
  <si>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</si>
  <si>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</si>
  <si>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</si>
  <si>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</si>
  <si>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</si>
  <si>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</si>
  <si>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</si>
  <si>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</si>
  <si>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</si>
  <si>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</si>
  <si>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</si>
  <si>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</si>
  <si>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</si>
  <si>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</si>
  <si>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</si>
  <si>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</si>
  <si>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</si>
  <si>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</si>
  <si>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</si>
  <si>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</si>
  <si>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</si>
  <si>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</si>
  <si>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</si>
  <si>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</si>
  <si>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</si>
  <si>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</si>
  <si>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</si>
  <si>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</si>
  <si>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</si>
  <si>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</si>
  <si>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</si>
  <si>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</si>
  <si>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</si>
  <si>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</si>
  <si>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</si>
  <si>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</si>
  <si>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</si>
  <si>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</si>
  <si>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</si>
  <si>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</si>
  <si>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</si>
  <si>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</si>
  <si>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</si>
  <si>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</si>
  <si>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</si>
  <si>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</si>
  <si>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</si>
  <si>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</si>
  <si>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</si>
  <si>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</si>
  <si>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</si>
  <si>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</si>
  <si>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</si>
  <si>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</si>
  <si>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</si>
  <si>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</si>
  <si>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</si>
  <si>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</si>
  <si>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</si>
  <si>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</si>
  <si>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</si>
  <si>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</si>
  <si>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</si>
  <si>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</si>
  <si>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</si>
  <si>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</si>
  <si>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</si>
  <si>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</si>
  <si>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</si>
  <si>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</si>
  <si>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</si>
  <si>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</si>
  <si>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</si>
  <si>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</si>
  <si>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</si>
  <si>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</si>
  <si>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</si>
  <si>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</si>
  <si>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</si>
  <si>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</si>
  <si>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</si>
  <si>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</si>
  <si>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</si>
  <si>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</si>
  <si>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</si>
  <si>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</si>
  <si>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</si>
  <si>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</si>
  <si>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</si>
  <si>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</si>
  <si>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</si>
  <si>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</si>
  <si>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</si>
  <si>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</si>
  <si>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</si>
  <si>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</si>
  <si>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</si>
  <si>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</si>
  <si>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</si>
  <si>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</si>
  <si>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</si>
  <si>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</si>
  <si>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</si>
  <si>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</si>
  <si>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</si>
  <si>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</si>
  <si>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</si>
  <si>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</si>
  <si>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</si>
  <si>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</si>
  <si>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</si>
  <si>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</si>
  <si>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</si>
  <si>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</si>
  <si>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</si>
  <si>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</si>
  <si>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</si>
  <si>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</si>
  <si>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</si>
  <si>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</si>
  <si>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</si>
  <si>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</si>
  <si>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</si>
  <si>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</si>
  <si>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</si>
  <si>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</si>
  <si>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</si>
  <si>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</si>
  <si>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</si>
  <si>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</si>
  <si>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</si>
  <si>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</si>
  <si>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</si>
  <si>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</si>
  <si>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</si>
  <si>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</si>
  <si>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</si>
  <si>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</si>
  <si>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</si>
  <si>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</si>
  <si>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</si>
  <si>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</si>
  <si>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</si>
  <si>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</si>
  <si>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</si>
  <si>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</si>
  <si>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</si>
  <si>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</si>
  <si>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</si>
  <si>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</si>
  <si>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</si>
  <si>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</si>
  <si>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</si>
  <si>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</si>
  <si>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</si>
  <si>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</si>
  <si>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</si>
  <si>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</si>
  <si>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</si>
  <si>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</si>
  <si>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</si>
  <si>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</si>
  <si>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</si>
  <si>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</si>
  <si>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</si>
  <si>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</si>
  <si>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</si>
  <si>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</si>
  <si>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</si>
  <si>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</si>
  <si>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</si>
  <si>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</si>
  <si>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</si>
  <si>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</si>
  <si>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</si>
  <si>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</si>
  <si>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</si>
  <si>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</si>
  <si>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</si>
  <si>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</si>
  <si>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</si>
  <si>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</si>
  <si>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</si>
  <si>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</si>
  <si>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</si>
  <si>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</si>
  <si>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</si>
  <si>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</si>
  <si>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</si>
  <si>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</si>
  <si>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</si>
  <si>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</si>
  <si>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</si>
  <si>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</si>
  <si>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</si>
  <si>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</si>
  <si>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</si>
  <si>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</si>
  <si>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</si>
  <si>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</si>
  <si>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</si>
  <si>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</si>
  <si>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</si>
  <si>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</si>
  <si>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</si>
  <si>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</si>
  <si>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</si>
  <si>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</si>
  <si>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</si>
  <si>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</si>
  <si>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</si>
  <si>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</si>
  <si>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</si>
  <si>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</si>
  <si>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</si>
  <si>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</si>
  <si>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</si>
  <si>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</si>
  <si>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</si>
  <si>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</si>
  <si>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</si>
  <si>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</si>
  <si>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</si>
  <si>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</si>
  <si>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</si>
  <si>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</si>
  <si>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</si>
  <si>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</si>
  <si>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</si>
  <si>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</si>
  <si>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</si>
  <si>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</si>
  <si>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</si>
  <si>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</si>
  <si>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</si>
  <si>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</si>
  <si>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</si>
  <si>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</si>
  <si>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</si>
  <si>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</si>
  <si>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</si>
  <si>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</si>
  <si>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</si>
  <si>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</si>
  <si>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</si>
  <si>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</si>
  <si>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</si>
  <si>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</si>
  <si>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</si>
  <si>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</si>
  <si>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</si>
  <si>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</si>
  <si>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</si>
  <si>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</si>
  <si>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</si>
  <si>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</si>
  <si>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</si>
  <si>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</si>
  <si>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</si>
  <si>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</si>
  <si>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</si>
  <si>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</si>
  <si>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</si>
  <si>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</si>
  <si>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</si>
  <si>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</si>
  <si>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</si>
  <si>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</si>
  <si>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</si>
  <si>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</si>
  <si>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</si>
  <si>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</si>
  <si>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</si>
  <si>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</si>
  <si>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</si>
  <si>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</si>
  <si>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</si>
  <si>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</si>
  <si>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</si>
  <si>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</si>
  <si>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</si>
  <si>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</si>
  <si>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</si>
  <si>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</si>
  <si>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</si>
  <si>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</si>
  <si>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</si>
  <si>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</si>
  <si>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</si>
  <si>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</si>
  <si>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</si>
  <si>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</si>
  <si>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</si>
  <si>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</si>
  <si>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</si>
  <si>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</si>
  <si>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</si>
  <si>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</si>
  <si>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</si>
  <si>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</si>
  <si>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</si>
  <si>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</si>
  <si>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</si>
  <si>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</si>
  <si>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</si>
  <si>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</si>
  <si>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</si>
  <si>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</si>
  <si>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</si>
  <si>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</si>
  <si>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</si>
  <si>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</si>
  <si>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</si>
  <si>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</si>
  <si>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</si>
  <si>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</si>
  <si>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</si>
  <si>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</si>
  <si>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</si>
  <si>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</si>
  <si>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</si>
  <si>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</si>
  <si>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</si>
  <si>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</si>
  <si>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</si>
  <si>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</si>
  <si>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</si>
  <si>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</si>
  <si>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</si>
  <si>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</si>
  <si>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</si>
  <si>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</si>
  <si>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</si>
  <si>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</si>
  <si>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</si>
  <si>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</si>
  <si>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</si>
  <si>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</si>
  <si>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</si>
  <si>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</si>
  <si>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</si>
  <si>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</si>
  <si>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</si>
  <si>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</si>
  <si>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</si>
  <si>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</si>
  <si>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</si>
  <si>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</si>
  <si>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</si>
  <si>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</si>
  <si>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</si>
  <si>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</si>
  <si>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</si>
  <si>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</si>
  <si>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</si>
  <si>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</si>
  <si>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</si>
  <si>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</si>
  <si>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</si>
  <si>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</si>
  <si>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</si>
  <si>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</si>
  <si>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</si>
  <si>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</si>
  <si>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</si>
  <si>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</si>
  <si>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</si>
  <si>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</si>
  <si>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</si>
  <si>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</si>
  <si>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</si>
  <si>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</si>
  <si>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</si>
  <si>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</si>
  <si>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</si>
  <si>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</si>
  <si>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</si>
  <si>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</si>
  <si>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</si>
  <si>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</si>
  <si>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</si>
  <si>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</si>
  <si>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</si>
  <si>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</si>
  <si>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</si>
  <si>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</si>
  <si>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</si>
  <si>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</si>
  <si>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</si>
  <si>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</si>
  <si>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</si>
  <si>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</si>
  <si>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</si>
  <si>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</si>
  <si>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</si>
  <si>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</si>
  <si>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</si>
  <si>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</si>
  <si>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</si>
  <si>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</si>
  <si>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</si>
  <si>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</si>
  <si>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</si>
  <si>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</si>
  <si>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</si>
  <si>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</si>
  <si>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</si>
  <si>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</si>
  <si>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</si>
  <si>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</si>
  <si>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</si>
  <si>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</si>
  <si>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</si>
  <si>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</si>
  <si>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</si>
  <si>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</si>
  <si>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</si>
  <si>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</si>
  <si>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</si>
  <si>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</si>
  <si>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</si>
  <si>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</si>
  <si>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</si>
  <si>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</si>
  <si>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</si>
  <si>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</si>
  <si>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</si>
  <si>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</si>
  <si>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</si>
  <si>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</si>
  <si>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</si>
  <si>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</si>
  <si>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</si>
  <si>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</si>
  <si>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</si>
  <si>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</si>
  <si>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</si>
  <si>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</si>
  <si>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</si>
  <si>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</si>
  <si>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</si>
  <si>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</si>
  <si>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</si>
  <si>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</si>
  <si>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</si>
  <si>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</si>
  <si>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</si>
  <si>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</si>
  <si>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</si>
  <si>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</si>
  <si>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</si>
  <si>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</si>
  <si>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</si>
  <si>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</si>
  <si>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</si>
  <si>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</si>
  <si>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</si>
  <si>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</si>
  <si>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</si>
  <si>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</si>
  <si>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</si>
  <si>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</si>
  <si>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</si>
  <si>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</si>
  <si>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</si>
  <si>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</si>
  <si>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</si>
  <si>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</si>
  <si>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</si>
  <si>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</si>
  <si>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</si>
  <si>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</si>
  <si>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</si>
  <si>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</si>
  <si>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</si>
  <si>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</si>
  <si>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</si>
  <si>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</si>
  <si>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</si>
  <si>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</si>
  <si>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</si>
  <si>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</si>
  <si>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</si>
  <si>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</si>
  <si>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</si>
  <si>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</si>
  <si>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</si>
  <si>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</si>
  <si>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</si>
  <si>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</si>
  <si>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</si>
  <si>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</si>
  <si>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</si>
  <si>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</si>
  <si>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</si>
  <si>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</si>
  <si>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</si>
  <si>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</si>
  <si>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</si>
  <si>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</si>
  <si>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</si>
  <si>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</si>
  <si>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</si>
  <si>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</si>
  <si>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</si>
  <si>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</si>
  <si>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</si>
  <si>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</si>
  <si>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</si>
  <si>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</si>
  <si>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</si>
  <si>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</si>
  <si>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</si>
  <si>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</si>
  <si>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</si>
  <si>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</si>
  <si>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</si>
  <si>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</si>
  <si>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</si>
  <si>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</si>
  <si>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</si>
  <si>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</si>
  <si>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</si>
  <si>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</si>
  <si>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</si>
  <si>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</si>
  <si>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</si>
  <si>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</si>
  <si>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</si>
  <si>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</si>
  <si>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</si>
  <si>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</si>
  <si>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</si>
  <si>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</si>
  <si>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</si>
  <si>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</si>
  <si>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</si>
  <si>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</si>
  <si>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</si>
  <si>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</si>
  <si>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</si>
  <si>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</si>
  <si>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</si>
  <si>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</si>
  <si>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</si>
  <si>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</si>
  <si>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</si>
  <si>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</si>
  <si>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</si>
  <si>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</si>
  <si>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</si>
  <si>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</si>
  <si>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</si>
  <si>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</si>
  <si>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</si>
  <si>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</si>
  <si>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</si>
  <si>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</si>
  <si>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</si>
  <si>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</si>
  <si>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</si>
  <si>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</si>
  <si>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</si>
  <si>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</si>
  <si>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</si>
  <si>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</si>
  <si>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</si>
  <si>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</si>
  <si>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</si>
  <si>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</si>
  <si>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</si>
  <si>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</si>
  <si>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</si>
  <si>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</si>
  <si>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</si>
  <si>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</si>
  <si>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</si>
  <si>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</si>
  <si>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</si>
  <si>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</si>
  <si>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</si>
  <si>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</si>
  <si>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</si>
  <si>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</si>
  <si>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</si>
  <si>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</si>
  <si>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</si>
  <si>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</si>
  <si>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</si>
  <si>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</si>
  <si>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</si>
  <si>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</si>
  <si>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</si>
  <si>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</si>
  <si>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</si>
  <si>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</si>
  <si>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</si>
  <si>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</si>
  <si>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</si>
  <si>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</si>
  <si>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</si>
  <si>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</si>
  <si>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</si>
  <si>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</si>
  <si>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</si>
  <si>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</si>
  <si>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</si>
  <si>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</si>
  <si>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</si>
  <si>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</si>
  <si>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</si>
  <si>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</si>
  <si>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</si>
  <si>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</si>
  <si>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</si>
  <si>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</si>
  <si>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</si>
  <si>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</si>
  <si>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</si>
  <si>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</si>
  <si>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</si>
  <si>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</si>
  <si>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</si>
  <si>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</si>
  <si>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</si>
  <si>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</si>
  <si>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</si>
  <si>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</si>
  <si>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</si>
  <si>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</si>
  <si>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</si>
  <si>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</si>
  <si>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</si>
  <si>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</si>
  <si>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</si>
  <si>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</si>
  <si>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</si>
  <si>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</si>
  <si>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</si>
  <si>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</si>
  <si>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</si>
  <si>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</si>
  <si>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</si>
  <si>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</si>
  <si>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</si>
  <si>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</si>
  <si>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</si>
  <si>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</si>
  <si>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</si>
  <si>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</si>
  <si>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</si>
  <si>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</si>
  <si>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</si>
  <si>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</si>
  <si>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</si>
  <si>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</si>
  <si>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</si>
  <si>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</si>
  <si>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</si>
  <si>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</si>
  <si>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</si>
  <si>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</si>
  <si>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</si>
  <si>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</si>
  <si>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</si>
  <si>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</si>
  <si>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</si>
  <si>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</si>
  <si>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</si>
  <si>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</si>
  <si>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</si>
  <si>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</si>
  <si>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</si>
  <si>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</si>
  <si>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</si>
  <si>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</si>
  <si>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</si>
  <si>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</si>
  <si>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</si>
  <si>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</si>
  <si>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</si>
  <si>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</si>
  <si>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</si>
  <si>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</si>
  <si>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</si>
  <si>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</si>
  <si>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</si>
  <si>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</si>
  <si>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</si>
  <si>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</si>
  <si>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</si>
  <si>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</si>
  <si>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</si>
  <si>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</si>
  <si>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</si>
  <si>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</si>
  <si>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</si>
  <si>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</si>
  <si>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</si>
  <si>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</si>
  <si>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</si>
  <si>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</si>
  <si>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</si>
  <si>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</si>
  <si>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</si>
  <si>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</si>
  <si>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</si>
  <si>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</si>
  <si>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</si>
  <si>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</si>
  <si>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</si>
  <si>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</si>
  <si>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</si>
  <si>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</si>
  <si>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</si>
  <si>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</si>
  <si>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</si>
  <si>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</si>
  <si>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</si>
  <si>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</si>
  <si>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</si>
  <si>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</si>
  <si>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</si>
  <si>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</si>
  <si>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</si>
  <si>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</si>
  <si>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</si>
  <si>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</si>
  <si>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</si>
  <si>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</si>
  <si>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</si>
  <si>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</si>
  <si>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</si>
  <si>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</si>
  <si>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</si>
  <si>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</si>
  <si>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</si>
  <si>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</si>
  <si>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</si>
  <si>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</si>
  <si>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</si>
  <si>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</si>
  <si>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</si>
  <si>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</si>
  <si>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</si>
  <si>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</si>
  <si>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</si>
  <si>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</si>
  <si>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</si>
  <si>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</si>
  <si>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06/09</t>
  </si>
  <si>
    <t>07/09</t>
  </si>
  <si>
    <t>"07/10</t>
  </si>
  <si>
    <t>06/14</t>
  </si>
  <si>
    <t>07/39</t>
  </si>
  <si>
    <t>"08/40</t>
  </si>
  <si>
    <t xml:space="preserve">Governor Wentworth Regional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</si>
</sst>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208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2028164.14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10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>
        <v>350170.6</v>
      </c>
      <c r="J12" s="67">
        <f>SUM(I441)</f>
        <v>43941.57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455255.25</v>
      </c>
      <c r="G13" s="18">
        <v>38646.519999999997</v>
      </c>
      <c r="H13" s="18">
        <v>332224.23</v>
      </c>
      <c r="I13" s="18"/>
      <c r="J13" s="67">
        <f>SUM(I442)</f>
        <v>1200622.79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3543.35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1653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2488625.7399999998</v>
      </c>
      <c r="G19" s="41">
        <f>SUM(G9:G18)</f>
        <v>38646.519999999997</v>
      </c>
      <c r="H19" s="41">
        <f>SUM(H9:H18)</f>
        <v>332224.23</v>
      </c>
      <c r="I19" s="41">
        <f>SUM(I9:I18)</f>
        <v>350170.6</v>
      </c>
      <c r="J19" s="41">
        <f>SUM(J9:J18)</f>
        <v>1244564.3600000001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115939.94</v>
      </c>
      <c r="G22" s="18">
        <v>2754.26</v>
      </c>
      <c r="H22" s="18">
        <v>268096.81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219295.78</v>
      </c>
      <c r="G28" s="18">
        <v>13020.7</v>
      </c>
      <c r="H28" s="18">
        <v>23855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4308.08</v>
      </c>
      <c r="G30" s="18">
        <v>14833.96</v>
      </c>
      <c r="H30" s="18">
        <v>40272.42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339543.8</v>
      </c>
      <c r="G32" s="41">
        <f>SUM(G22:G31)</f>
        <v>30608.92</v>
      </c>
      <c r="H32" s="41">
        <f>SUM(H22:H31)</f>
        <v>332224.23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1653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8037.6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v>350170.6</v>
      </c>
      <c r="J48" s="13">
        <f>SUM(I459)</f>
        <v>1244564.3600000001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33434.65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2053994.29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2149081.94</v>
      </c>
      <c r="G51" s="41">
        <f>SUM(G35:G50)</f>
        <v>8037.6</v>
      </c>
      <c r="H51" s="41">
        <f>SUM(H35:H50)</f>
        <v>0</v>
      </c>
      <c r="I51" s="41">
        <f>SUM(I35:I50)</f>
        <v>350170.6</v>
      </c>
      <c r="J51" s="41">
        <f>SUM(J35:J50)</f>
        <v>1244564.3600000001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2488625.7399999998</v>
      </c>
      <c r="G52" s="41">
        <f>G51+G32</f>
        <v>38646.519999999997</v>
      </c>
      <c r="H52" s="41">
        <f>H51+H32</f>
        <v>332224.23</v>
      </c>
      <c r="I52" s="41">
        <f>I51+I32</f>
        <v>350170.6</v>
      </c>
      <c r="J52" s="41">
        <f>J51+J32</f>
        <v>1244564.3600000001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25186530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25186530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31640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3437.5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198736.12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136500.78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228222.34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5669.48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604206.22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453.73</v>
      </c>
      <c r="G96" s="18"/>
      <c r="H96" s="18"/>
      <c r="I96" s="18"/>
      <c r="J96" s="18">
        <v>49318.64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445011.82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16823.55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3316.24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4814.5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3411.81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780394.75</v>
      </c>
      <c r="G110" s="18">
        <v>4320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809214.58</v>
      </c>
      <c r="G111" s="41">
        <f>SUM(G96:G110)</f>
        <v>449331.82</v>
      </c>
      <c r="H111" s="41">
        <f>SUM(H96:H110)</f>
        <v>0</v>
      </c>
      <c r="I111" s="41">
        <f>SUM(I96:I110)</f>
        <v>0</v>
      </c>
      <c r="J111" s="41">
        <f>SUM(J96:J110)</f>
        <v>49318.64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26599950.799999997</v>
      </c>
      <c r="G112" s="41">
        <f>G60+G111</f>
        <v>449331.82</v>
      </c>
      <c r="H112" s="41">
        <f>H60+H79+H94+H111</f>
        <v>0</v>
      </c>
      <c r="I112" s="41">
        <f>I60+I111</f>
        <v>0</v>
      </c>
      <c r="J112" s="41">
        <f>J60+J111</f>
        <v>49318.64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3998063.75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10865412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14863475.75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1712487.82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84960.9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249932.75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11482.83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2047381.47</v>
      </c>
      <c r="G136" s="41">
        <f>SUM(G123:G135)</f>
        <v>11482.83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16910857.219999999</v>
      </c>
      <c r="G140" s="41">
        <f>G121+SUM(G136:G137)</f>
        <v>11482.83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678318.97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315340.28999999998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128159.03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128754.89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463472.73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485957.74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463472.73</v>
      </c>
      <c r="H162" s="41">
        <f>SUM(H150:H161)</f>
        <v>1736530.92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463472.73</v>
      </c>
      <c r="H169" s="41">
        <f>H147+H162+SUM(H163:H168)</f>
        <v>1736530.92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60000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43510808.019999996</v>
      </c>
      <c r="G193" s="47">
        <f>G112+G140+G169+G192</f>
        <v>924287.38</v>
      </c>
      <c r="H193" s="47">
        <f>H112+H140+H169+H192</f>
        <v>1736530.92</v>
      </c>
      <c r="I193" s="47">
        <f>I112+I140+I169+I192</f>
        <v>0</v>
      </c>
      <c r="J193" s="47">
        <f>J112+J140+J192</f>
        <v>109318.64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5474874.3899999997</v>
      </c>
      <c r="G197" s="18">
        <v>2483912.34</v>
      </c>
      <c r="H197" s="18">
        <v>12820.19</v>
      </c>
      <c r="I197" s="18">
        <v>252087.19</v>
      </c>
      <c r="J197" s="18">
        <v>72808.77</v>
      </c>
      <c r="K197" s="18"/>
      <c r="L197" s="19">
        <f>SUM(F197:K197)</f>
        <v>8296502.8799999999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2297340.73</v>
      </c>
      <c r="G198" s="18">
        <v>1133378.08</v>
      </c>
      <c r="H198" s="18">
        <v>454528.23</v>
      </c>
      <c r="I198" s="18">
        <v>28886.34</v>
      </c>
      <c r="J198" s="18">
        <v>4580.99</v>
      </c>
      <c r="K198" s="18">
        <v>813.5</v>
      </c>
      <c r="L198" s="19">
        <f>SUM(F198:K198)</f>
        <v>3919527.87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20560.37</v>
      </c>
      <c r="G200" s="18">
        <v>3231.4</v>
      </c>
      <c r="H200" s="18">
        <v>142</v>
      </c>
      <c r="I200" s="18"/>
      <c r="J200" s="18"/>
      <c r="K200" s="18"/>
      <c r="L200" s="19">
        <f>SUM(F200:K200)</f>
        <v>23933.77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514988.44</v>
      </c>
      <c r="G202" s="18">
        <v>271605.64</v>
      </c>
      <c r="H202" s="18">
        <v>149677.13</v>
      </c>
      <c r="I202" s="18">
        <v>5075.3</v>
      </c>
      <c r="J202" s="18"/>
      <c r="K202" s="18">
        <v>100</v>
      </c>
      <c r="L202" s="19">
        <f t="shared" ref="L202:L208" si="0">SUM(F202:K202)</f>
        <v>941446.51000000013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358100.95</v>
      </c>
      <c r="G203" s="18">
        <v>231052.58</v>
      </c>
      <c r="H203" s="18">
        <v>28434.07</v>
      </c>
      <c r="I203" s="18">
        <v>84143.92</v>
      </c>
      <c r="J203" s="18">
        <v>20846.77</v>
      </c>
      <c r="K203" s="18">
        <v>56.88</v>
      </c>
      <c r="L203" s="19">
        <f t="shared" si="0"/>
        <v>722635.17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209801.34</v>
      </c>
      <c r="G204" s="18">
        <v>104750.9</v>
      </c>
      <c r="H204" s="18">
        <v>48583.23</v>
      </c>
      <c r="I204" s="18">
        <v>13153.98</v>
      </c>
      <c r="J204" s="18">
        <v>81</v>
      </c>
      <c r="K204" s="18">
        <v>4643.9799999999996</v>
      </c>
      <c r="L204" s="19">
        <f t="shared" si="0"/>
        <v>381014.42999999993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757367.57</v>
      </c>
      <c r="G205" s="18">
        <v>416372.91</v>
      </c>
      <c r="H205" s="18">
        <v>150289.4</v>
      </c>
      <c r="I205" s="18">
        <v>7008.68</v>
      </c>
      <c r="J205" s="18">
        <v>8763</v>
      </c>
      <c r="K205" s="18">
        <v>2880.9</v>
      </c>
      <c r="L205" s="19">
        <f t="shared" si="0"/>
        <v>1342682.4599999997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136251.26</v>
      </c>
      <c r="G206" s="18">
        <v>63344.28</v>
      </c>
      <c r="H206" s="18">
        <v>19333.64</v>
      </c>
      <c r="I206" s="18">
        <v>7563.4</v>
      </c>
      <c r="J206" s="18">
        <v>80.989999999999995</v>
      </c>
      <c r="K206" s="18">
        <v>10751.1</v>
      </c>
      <c r="L206" s="19">
        <f t="shared" si="0"/>
        <v>237324.66999999998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690564.38</v>
      </c>
      <c r="G207" s="18">
        <v>334997.94</v>
      </c>
      <c r="H207" s="18">
        <v>411481.56</v>
      </c>
      <c r="I207" s="18">
        <v>511239.55</v>
      </c>
      <c r="J207" s="18">
        <v>13389.05</v>
      </c>
      <c r="K207" s="18"/>
      <c r="L207" s="19">
        <f t="shared" si="0"/>
        <v>1961672.4800000002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850374.33</v>
      </c>
      <c r="G208" s="18">
        <v>286301.09999999998</v>
      </c>
      <c r="H208" s="18">
        <v>90330.69</v>
      </c>
      <c r="I208" s="18">
        <v>146237.13</v>
      </c>
      <c r="J208" s="18">
        <v>124318.16</v>
      </c>
      <c r="K208" s="18"/>
      <c r="L208" s="19">
        <f t="shared" si="0"/>
        <v>1497561.41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11310223.76</v>
      </c>
      <c r="G211" s="41">
        <f t="shared" si="1"/>
        <v>5328947.1700000009</v>
      </c>
      <c r="H211" s="41">
        <f t="shared" si="1"/>
        <v>1365620.14</v>
      </c>
      <c r="I211" s="41">
        <f t="shared" si="1"/>
        <v>1055395.49</v>
      </c>
      <c r="J211" s="41">
        <f t="shared" si="1"/>
        <v>244868.73000000004</v>
      </c>
      <c r="K211" s="41">
        <f t="shared" si="1"/>
        <v>19246.36</v>
      </c>
      <c r="L211" s="41">
        <f t="shared" si="1"/>
        <v>19324301.649999999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2232904.56</v>
      </c>
      <c r="G215" s="18">
        <v>1235841.92</v>
      </c>
      <c r="H215" s="18">
        <v>20585.64</v>
      </c>
      <c r="I215" s="18">
        <v>71417.2</v>
      </c>
      <c r="J215" s="18">
        <v>86527.18</v>
      </c>
      <c r="K215" s="18">
        <v>25</v>
      </c>
      <c r="L215" s="19">
        <f>SUM(F215:K215)</f>
        <v>3647301.5000000005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798817.85</v>
      </c>
      <c r="G216" s="18">
        <v>383986.8</v>
      </c>
      <c r="H216" s="18">
        <v>215861.22</v>
      </c>
      <c r="I216" s="18">
        <v>8058.65</v>
      </c>
      <c r="J216" s="18">
        <v>4538.7299999999996</v>
      </c>
      <c r="K216" s="18">
        <v>286.2</v>
      </c>
      <c r="L216" s="19">
        <f>SUM(F216:K216)</f>
        <v>1411549.4499999997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59900.34</v>
      </c>
      <c r="G218" s="18">
        <v>10297.74</v>
      </c>
      <c r="H218" s="18">
        <v>12858.45</v>
      </c>
      <c r="I218" s="18">
        <v>8441.11</v>
      </c>
      <c r="J218" s="18">
        <v>9308.7900000000009</v>
      </c>
      <c r="K218" s="18"/>
      <c r="L218" s="19">
        <f>SUM(F218:K218)</f>
        <v>100806.43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121903.7</v>
      </c>
      <c r="G220" s="18">
        <v>88449.5</v>
      </c>
      <c r="H220" s="18">
        <v>51877.09</v>
      </c>
      <c r="I220" s="18">
        <v>3021.92</v>
      </c>
      <c r="J220" s="18">
        <v>1440.57</v>
      </c>
      <c r="K220" s="18">
        <v>40</v>
      </c>
      <c r="L220" s="19">
        <f t="shared" ref="L220:L226" si="2">SUM(F220:K220)</f>
        <v>266732.78000000003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79038.5</v>
      </c>
      <c r="G221" s="18">
        <v>77252.36</v>
      </c>
      <c r="H221" s="18">
        <v>13860.38</v>
      </c>
      <c r="I221" s="18">
        <v>36977.699999999997</v>
      </c>
      <c r="J221" s="18">
        <v>11717.4</v>
      </c>
      <c r="K221" s="18"/>
      <c r="L221" s="19">
        <f t="shared" si="2"/>
        <v>218846.34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69144.75</v>
      </c>
      <c r="G222" s="18">
        <v>35923.760000000002</v>
      </c>
      <c r="H222" s="18">
        <v>19338.98</v>
      </c>
      <c r="I222" s="18">
        <v>5261.59</v>
      </c>
      <c r="J222" s="18">
        <v>32.4</v>
      </c>
      <c r="K222" s="18">
        <v>1857.59</v>
      </c>
      <c r="L222" s="19">
        <f t="shared" si="2"/>
        <v>131559.07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255878.41</v>
      </c>
      <c r="G223" s="18">
        <v>143238.32999999999</v>
      </c>
      <c r="H223" s="18">
        <v>43529.8</v>
      </c>
      <c r="I223" s="18">
        <v>4996.28</v>
      </c>
      <c r="J223" s="18">
        <v>556.70000000000005</v>
      </c>
      <c r="K223" s="18">
        <v>2192.5</v>
      </c>
      <c r="L223" s="19">
        <f t="shared" si="2"/>
        <v>450392.02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46325.52</v>
      </c>
      <c r="G224" s="18">
        <v>21928.19</v>
      </c>
      <c r="H224" s="18">
        <v>7733.46</v>
      </c>
      <c r="I224" s="18">
        <v>3025.36</v>
      </c>
      <c r="J224" s="18">
        <v>32.4</v>
      </c>
      <c r="K224" s="18">
        <v>4300.4399999999996</v>
      </c>
      <c r="L224" s="19">
        <f t="shared" si="2"/>
        <v>83345.37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163755.54999999999</v>
      </c>
      <c r="G225" s="18">
        <v>103167.7</v>
      </c>
      <c r="H225" s="18">
        <v>130546.65</v>
      </c>
      <c r="I225" s="18">
        <v>165130.78</v>
      </c>
      <c r="J225" s="18">
        <v>1749.84</v>
      </c>
      <c r="K225" s="18"/>
      <c r="L225" s="19">
        <f t="shared" si="2"/>
        <v>564350.52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46926.5</v>
      </c>
      <c r="G226" s="18">
        <v>104366.11</v>
      </c>
      <c r="H226" s="18">
        <v>35541.050000000003</v>
      </c>
      <c r="I226" s="18">
        <v>63797.52</v>
      </c>
      <c r="J226" s="18">
        <v>49727.26</v>
      </c>
      <c r="K226" s="18"/>
      <c r="L226" s="19">
        <f t="shared" si="2"/>
        <v>300358.43999999994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3874595.68</v>
      </c>
      <c r="G229" s="41">
        <f>SUM(G215:G228)</f>
        <v>2204452.41</v>
      </c>
      <c r="H229" s="41">
        <f>SUM(H215:H228)</f>
        <v>551732.72000000009</v>
      </c>
      <c r="I229" s="41">
        <f>SUM(I215:I228)</f>
        <v>370128.11</v>
      </c>
      <c r="J229" s="41">
        <f>SUM(J215:J228)</f>
        <v>165631.26999999996</v>
      </c>
      <c r="K229" s="41">
        <f t="shared" si="3"/>
        <v>8701.73</v>
      </c>
      <c r="L229" s="41">
        <f t="shared" si="3"/>
        <v>7175241.9199999999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3210106.41</v>
      </c>
      <c r="G233" s="18">
        <v>1977084.58</v>
      </c>
      <c r="H233" s="18">
        <v>233442.27</v>
      </c>
      <c r="I233" s="18">
        <v>144141.96</v>
      </c>
      <c r="J233" s="18">
        <v>111158.78</v>
      </c>
      <c r="K233" s="18"/>
      <c r="L233" s="19">
        <f>SUM(F233:K233)</f>
        <v>5675934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761202.61</v>
      </c>
      <c r="G234" s="18">
        <v>603682.55000000005</v>
      </c>
      <c r="H234" s="18">
        <v>163720.10999999999</v>
      </c>
      <c r="I234" s="18">
        <v>7445.4</v>
      </c>
      <c r="J234" s="18">
        <v>643.28</v>
      </c>
      <c r="K234" s="18">
        <v>429.3</v>
      </c>
      <c r="L234" s="19">
        <f>SUM(F234:K234)</f>
        <v>1537123.25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735971.04</v>
      </c>
      <c r="G235" s="18">
        <v>373871.05</v>
      </c>
      <c r="H235" s="18">
        <v>11124.66</v>
      </c>
      <c r="I235" s="18">
        <v>39938.43</v>
      </c>
      <c r="J235" s="18">
        <v>38443.620000000003</v>
      </c>
      <c r="K235" s="18">
        <v>650</v>
      </c>
      <c r="L235" s="19">
        <f>SUM(F235:K235)</f>
        <v>1199998.8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296707</v>
      </c>
      <c r="G236" s="18">
        <v>46980.18</v>
      </c>
      <c r="H236" s="18">
        <v>92822.15</v>
      </c>
      <c r="I236" s="18">
        <v>11731.94</v>
      </c>
      <c r="J236" s="18">
        <v>46394.97</v>
      </c>
      <c r="K236" s="18">
        <v>10799.08</v>
      </c>
      <c r="L236" s="19">
        <f>SUM(F236:K236)</f>
        <v>505435.32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385814.84</v>
      </c>
      <c r="G238" s="18">
        <v>198023.93</v>
      </c>
      <c r="H238" s="18">
        <v>52981.34</v>
      </c>
      <c r="I238" s="18">
        <v>6343.31</v>
      </c>
      <c r="J238" s="18">
        <v>3095.9</v>
      </c>
      <c r="K238" s="18">
        <v>25</v>
      </c>
      <c r="L238" s="19">
        <f t="shared" ref="L238:L244" si="4">SUM(F238:K238)</f>
        <v>646284.32000000007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199996.94</v>
      </c>
      <c r="G239" s="18">
        <v>140974.29</v>
      </c>
      <c r="H239" s="18">
        <v>26632.63</v>
      </c>
      <c r="I239" s="18">
        <v>59335.44</v>
      </c>
      <c r="J239" s="18">
        <v>27083.61</v>
      </c>
      <c r="K239" s="18">
        <v>1269</v>
      </c>
      <c r="L239" s="19">
        <f t="shared" si="4"/>
        <v>455291.91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134220.85</v>
      </c>
      <c r="G240" s="18">
        <v>68232.86</v>
      </c>
      <c r="H240" s="18">
        <v>29008.46</v>
      </c>
      <c r="I240" s="18">
        <v>7892.38</v>
      </c>
      <c r="J240" s="18">
        <v>48.6</v>
      </c>
      <c r="K240" s="18">
        <v>2786.39</v>
      </c>
      <c r="L240" s="19">
        <f t="shared" si="4"/>
        <v>242189.54000000004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409810.4</v>
      </c>
      <c r="G241" s="18">
        <v>257329.56</v>
      </c>
      <c r="H241" s="18">
        <v>103467.92</v>
      </c>
      <c r="I241" s="18">
        <v>19948.3</v>
      </c>
      <c r="J241" s="18">
        <v>311.02999999999997</v>
      </c>
      <c r="K241" s="18">
        <v>3609</v>
      </c>
      <c r="L241" s="19">
        <f t="shared" si="4"/>
        <v>794476.21000000008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89925.22</v>
      </c>
      <c r="G242" s="18">
        <v>42266.16</v>
      </c>
      <c r="H242" s="18">
        <v>11600.18</v>
      </c>
      <c r="I242" s="18">
        <v>8717.68</v>
      </c>
      <c r="J242" s="18">
        <v>48.59</v>
      </c>
      <c r="K242" s="18">
        <v>6450.66</v>
      </c>
      <c r="L242" s="19">
        <f t="shared" si="4"/>
        <v>159008.49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398526.62</v>
      </c>
      <c r="G243" s="18">
        <v>213445.3</v>
      </c>
      <c r="H243" s="18">
        <v>410772.95</v>
      </c>
      <c r="I243" s="18">
        <v>389247.36</v>
      </c>
      <c r="J243" s="18">
        <v>3000</v>
      </c>
      <c r="K243" s="18"/>
      <c r="L243" s="19">
        <f t="shared" si="4"/>
        <v>1414992.23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97038.59</v>
      </c>
      <c r="G244" s="18">
        <v>66126.600000000006</v>
      </c>
      <c r="H244" s="18">
        <v>45443.03</v>
      </c>
      <c r="I244" s="18">
        <v>106443.74</v>
      </c>
      <c r="J244" s="18">
        <v>74590.89</v>
      </c>
      <c r="K244" s="18"/>
      <c r="L244" s="19">
        <f t="shared" si="4"/>
        <v>389642.85000000003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6719320.5200000005</v>
      </c>
      <c r="G247" s="41">
        <f t="shared" si="5"/>
        <v>3988017.06</v>
      </c>
      <c r="H247" s="41">
        <f t="shared" si="5"/>
        <v>1181015.7</v>
      </c>
      <c r="I247" s="41">
        <f t="shared" si="5"/>
        <v>801185.94</v>
      </c>
      <c r="J247" s="41">
        <f t="shared" si="5"/>
        <v>304819.26999999996</v>
      </c>
      <c r="K247" s="41">
        <f t="shared" si="5"/>
        <v>26018.429999999997</v>
      </c>
      <c r="L247" s="41">
        <f t="shared" si="5"/>
        <v>13020376.920000002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10083.42</v>
      </c>
      <c r="G251" s="18">
        <v>2079.34</v>
      </c>
      <c r="H251" s="18"/>
      <c r="I251" s="18"/>
      <c r="J251" s="18"/>
      <c r="K251" s="18"/>
      <c r="L251" s="19">
        <f t="shared" si="6"/>
        <v>12162.76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>
        <v>3465.99</v>
      </c>
      <c r="J253" s="18"/>
      <c r="K253" s="18"/>
      <c r="L253" s="19">
        <f t="shared" si="6"/>
        <v>3465.99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150000</v>
      </c>
      <c r="K255" s="18"/>
      <c r="L255" s="19">
        <f t="shared" si="6"/>
        <v>150000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10083.42</v>
      </c>
      <c r="G256" s="41">
        <f t="shared" si="7"/>
        <v>2079.34</v>
      </c>
      <c r="H256" s="41">
        <f t="shared" si="7"/>
        <v>0</v>
      </c>
      <c r="I256" s="41">
        <f t="shared" si="7"/>
        <v>3465.99</v>
      </c>
      <c r="J256" s="41">
        <f t="shared" si="7"/>
        <v>150000</v>
      </c>
      <c r="K256" s="41">
        <f t="shared" si="7"/>
        <v>0</v>
      </c>
      <c r="L256" s="41">
        <f>SUM(F256:K256)</f>
        <v>165628.75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21914223.380000003</v>
      </c>
      <c r="G257" s="41">
        <f t="shared" si="8"/>
        <v>11523495.98</v>
      </c>
      <c r="H257" s="41">
        <f t="shared" si="8"/>
        <v>3098368.5599999996</v>
      </c>
      <c r="I257" s="41">
        <f t="shared" si="8"/>
        <v>2230175.5300000003</v>
      </c>
      <c r="J257" s="41">
        <f t="shared" si="8"/>
        <v>865319.27</v>
      </c>
      <c r="K257" s="41">
        <f t="shared" si="8"/>
        <v>53966.52</v>
      </c>
      <c r="L257" s="41">
        <f t="shared" si="8"/>
        <v>39685549.240000002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3127735.75</v>
      </c>
      <c r="L260" s="19">
        <f>SUM(F260:K260)</f>
        <v>3127735.75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544101.30000000005</v>
      </c>
      <c r="L261" s="19">
        <f>SUM(F261:K261)</f>
        <v>544101.30000000005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3731837.05</v>
      </c>
      <c r="L270" s="41">
        <f t="shared" si="9"/>
        <v>3731837.05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21914223.380000003</v>
      </c>
      <c r="G271" s="42">
        <f t="shared" si="11"/>
        <v>11523495.98</v>
      </c>
      <c r="H271" s="42">
        <f t="shared" si="11"/>
        <v>3098368.5599999996</v>
      </c>
      <c r="I271" s="42">
        <f t="shared" si="11"/>
        <v>2230175.5300000003</v>
      </c>
      <c r="J271" s="42">
        <f t="shared" si="11"/>
        <v>865319.27</v>
      </c>
      <c r="K271" s="42">
        <f t="shared" si="11"/>
        <v>3785803.57</v>
      </c>
      <c r="L271" s="42">
        <f t="shared" si="11"/>
        <v>43417386.289999999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392576.02</v>
      </c>
      <c r="G276" s="18">
        <v>225285.34</v>
      </c>
      <c r="H276" s="18">
        <v>17544.310000000001</v>
      </c>
      <c r="I276" s="18">
        <v>39193.449999999997</v>
      </c>
      <c r="J276" s="18">
        <v>16468.580000000002</v>
      </c>
      <c r="K276" s="18"/>
      <c r="L276" s="19">
        <f>SUM(F276:K276)</f>
        <v>691067.7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126836.68</v>
      </c>
      <c r="G277" s="18">
        <v>83249.490000000005</v>
      </c>
      <c r="H277" s="18"/>
      <c r="I277" s="18">
        <v>513.80999999999995</v>
      </c>
      <c r="J277" s="18">
        <v>8204.36</v>
      </c>
      <c r="K277" s="18"/>
      <c r="L277" s="19">
        <f>SUM(F277:K277)</f>
        <v>218804.33999999997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56491.25</v>
      </c>
      <c r="G282" s="18">
        <v>23980.43</v>
      </c>
      <c r="H282" s="18">
        <v>30049.29</v>
      </c>
      <c r="I282" s="18">
        <v>3871.49</v>
      </c>
      <c r="J282" s="18">
        <v>2255.2399999999998</v>
      </c>
      <c r="K282" s="18"/>
      <c r="L282" s="19">
        <f t="shared" si="12"/>
        <v>116647.70000000001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10500</v>
      </c>
      <c r="I287" s="18"/>
      <c r="J287" s="18"/>
      <c r="K287" s="18"/>
      <c r="L287" s="19">
        <f t="shared" si="12"/>
        <v>10500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575903.94999999995</v>
      </c>
      <c r="G290" s="42">
        <f t="shared" si="13"/>
        <v>332515.26</v>
      </c>
      <c r="H290" s="42">
        <f t="shared" si="13"/>
        <v>58093.600000000006</v>
      </c>
      <c r="I290" s="42">
        <f t="shared" si="13"/>
        <v>43578.749999999993</v>
      </c>
      <c r="J290" s="42">
        <f t="shared" si="13"/>
        <v>26928.18</v>
      </c>
      <c r="K290" s="42">
        <f t="shared" si="13"/>
        <v>0</v>
      </c>
      <c r="L290" s="41">
        <f t="shared" si="13"/>
        <v>1037019.74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2632.36</v>
      </c>
      <c r="G295" s="18">
        <v>463.33</v>
      </c>
      <c r="H295" s="18">
        <v>3227.49</v>
      </c>
      <c r="I295" s="18">
        <v>3807.42</v>
      </c>
      <c r="J295" s="18"/>
      <c r="K295" s="18"/>
      <c r="L295" s="19">
        <f>SUM(F295:K295)</f>
        <v>10130.6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50734.68</v>
      </c>
      <c r="G296" s="18">
        <v>33299.79</v>
      </c>
      <c r="H296" s="18"/>
      <c r="I296" s="18">
        <v>205.52</v>
      </c>
      <c r="J296" s="18">
        <v>3281.74</v>
      </c>
      <c r="K296" s="18"/>
      <c r="L296" s="19">
        <f>SUM(F296:K296)</f>
        <v>87521.73000000001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22596.5</v>
      </c>
      <c r="G301" s="18">
        <v>9592.17</v>
      </c>
      <c r="H301" s="18">
        <v>12019.71</v>
      </c>
      <c r="I301" s="18">
        <v>1548.59</v>
      </c>
      <c r="J301" s="18">
        <v>902.1</v>
      </c>
      <c r="K301" s="18"/>
      <c r="L301" s="19">
        <f t="shared" si="14"/>
        <v>46659.069999999992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75963.540000000008</v>
      </c>
      <c r="G309" s="42">
        <f t="shared" si="15"/>
        <v>43355.29</v>
      </c>
      <c r="H309" s="42">
        <f t="shared" si="15"/>
        <v>15247.199999999999</v>
      </c>
      <c r="I309" s="42">
        <f t="shared" si="15"/>
        <v>5561.53</v>
      </c>
      <c r="J309" s="42">
        <f t="shared" si="15"/>
        <v>4183.84</v>
      </c>
      <c r="K309" s="42">
        <f t="shared" si="15"/>
        <v>0</v>
      </c>
      <c r="L309" s="41">
        <f t="shared" si="15"/>
        <v>144311.40000000002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3948.53</v>
      </c>
      <c r="G314" s="18">
        <v>695</v>
      </c>
      <c r="H314" s="18">
        <v>4841.24</v>
      </c>
      <c r="I314" s="18">
        <v>5711.13</v>
      </c>
      <c r="J314" s="18"/>
      <c r="K314" s="18"/>
      <c r="L314" s="19">
        <f>SUM(F314:K314)</f>
        <v>15195.900000000001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76102.009999999995</v>
      </c>
      <c r="G315" s="18">
        <v>49949.68</v>
      </c>
      <c r="H315" s="18"/>
      <c r="I315" s="18">
        <v>308.29000000000002</v>
      </c>
      <c r="J315" s="18">
        <v>4922.62</v>
      </c>
      <c r="K315" s="18"/>
      <c r="L315" s="19">
        <f>SUM(F315:K315)</f>
        <v>131282.6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53336.94</v>
      </c>
      <c r="G316" s="18">
        <v>24441.41</v>
      </c>
      <c r="H316" s="18">
        <v>16352.83</v>
      </c>
      <c r="I316" s="18"/>
      <c r="J316" s="18">
        <v>30401.03</v>
      </c>
      <c r="K316" s="18"/>
      <c r="L316" s="19">
        <f>SUM(F316:K316)</f>
        <v>124532.21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33894.75</v>
      </c>
      <c r="G320" s="18">
        <v>14388.26</v>
      </c>
      <c r="H320" s="18">
        <v>18029.57</v>
      </c>
      <c r="I320" s="18">
        <v>2322.89</v>
      </c>
      <c r="J320" s="18">
        <v>1353.14</v>
      </c>
      <c r="K320" s="18">
        <v>3626.82</v>
      </c>
      <c r="L320" s="19">
        <f t="shared" si="16"/>
        <v>73615.430000000008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167282.22999999998</v>
      </c>
      <c r="G328" s="42">
        <f t="shared" si="17"/>
        <v>89474.349999999991</v>
      </c>
      <c r="H328" s="42">
        <f t="shared" si="17"/>
        <v>39223.64</v>
      </c>
      <c r="I328" s="42">
        <f t="shared" si="17"/>
        <v>8342.31</v>
      </c>
      <c r="J328" s="42">
        <f t="shared" si="17"/>
        <v>36676.79</v>
      </c>
      <c r="K328" s="42">
        <f t="shared" si="17"/>
        <v>3626.82</v>
      </c>
      <c r="L328" s="41">
        <f t="shared" si="17"/>
        <v>344626.14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58363</v>
      </c>
      <c r="G333" s="18">
        <v>31845.89</v>
      </c>
      <c r="H333" s="18">
        <v>25015.07</v>
      </c>
      <c r="I333" s="18">
        <v>11986.03</v>
      </c>
      <c r="J333" s="18"/>
      <c r="K333" s="18">
        <v>1544.9</v>
      </c>
      <c r="L333" s="19">
        <f t="shared" si="18"/>
        <v>128754.88999999998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46758.3</v>
      </c>
      <c r="G335" s="18">
        <v>35060.449999999997</v>
      </c>
      <c r="H335" s="18"/>
      <c r="I335" s="18"/>
      <c r="J335" s="18"/>
      <c r="K335" s="18"/>
      <c r="L335" s="19">
        <f t="shared" si="18"/>
        <v>81818.75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105121.3</v>
      </c>
      <c r="G337" s="41">
        <f t="shared" si="19"/>
        <v>66906.34</v>
      </c>
      <c r="H337" s="41">
        <f t="shared" si="19"/>
        <v>25015.07</v>
      </c>
      <c r="I337" s="41">
        <f t="shared" si="19"/>
        <v>11986.03</v>
      </c>
      <c r="J337" s="41">
        <f t="shared" si="19"/>
        <v>0</v>
      </c>
      <c r="K337" s="41">
        <f t="shared" si="19"/>
        <v>1544.9</v>
      </c>
      <c r="L337" s="41">
        <f t="shared" si="18"/>
        <v>210573.64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924271.02</v>
      </c>
      <c r="G338" s="41">
        <f t="shared" si="20"/>
        <v>532251.24</v>
      </c>
      <c r="H338" s="41">
        <f t="shared" si="20"/>
        <v>137579.51</v>
      </c>
      <c r="I338" s="41">
        <f t="shared" si="20"/>
        <v>69468.62</v>
      </c>
      <c r="J338" s="41">
        <f t="shared" si="20"/>
        <v>67788.81</v>
      </c>
      <c r="K338" s="41">
        <f t="shared" si="20"/>
        <v>5171.72</v>
      </c>
      <c r="L338" s="41">
        <f t="shared" si="20"/>
        <v>1736530.9200000004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924271.02</v>
      </c>
      <c r="G352" s="41">
        <f>G338</f>
        <v>532251.24</v>
      </c>
      <c r="H352" s="41">
        <f>H338</f>
        <v>137579.51</v>
      </c>
      <c r="I352" s="41">
        <f>I338</f>
        <v>69468.62</v>
      </c>
      <c r="J352" s="41">
        <f>J338</f>
        <v>67788.81</v>
      </c>
      <c r="K352" s="47">
        <f>K338+K351</f>
        <v>5171.72</v>
      </c>
      <c r="L352" s="41">
        <f>L338+L351</f>
        <v>1736530.9200000004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149570.84</v>
      </c>
      <c r="G358" s="18">
        <v>13912.47</v>
      </c>
      <c r="H358" s="18">
        <v>7840.67</v>
      </c>
      <c r="I358" s="18">
        <v>226164.11</v>
      </c>
      <c r="J358" s="18">
        <v>1203.0999999999999</v>
      </c>
      <c r="K358" s="18"/>
      <c r="L358" s="13">
        <f>SUM(F358:K358)</f>
        <v>398691.18999999994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37426.58</v>
      </c>
      <c r="G359" s="18">
        <v>6322.92</v>
      </c>
      <c r="H359" s="18">
        <v>3136.27</v>
      </c>
      <c r="I359" s="18">
        <v>90465.64</v>
      </c>
      <c r="J359" s="18">
        <v>481.24</v>
      </c>
      <c r="K359" s="18"/>
      <c r="L359" s="19">
        <f>SUM(F359:K359)</f>
        <v>137832.65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215281.94</v>
      </c>
      <c r="G360" s="18">
        <v>32639.9</v>
      </c>
      <c r="H360" s="18">
        <v>4704.3999999999996</v>
      </c>
      <c r="I360" s="18">
        <v>135698.46</v>
      </c>
      <c r="J360" s="18">
        <v>721.86</v>
      </c>
      <c r="K360" s="18"/>
      <c r="L360" s="19">
        <f>SUM(F360:K360)</f>
        <v>389046.55999999994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402279.36</v>
      </c>
      <c r="G362" s="47">
        <f t="shared" si="22"/>
        <v>52875.29</v>
      </c>
      <c r="H362" s="47">
        <f t="shared" si="22"/>
        <v>15681.34</v>
      </c>
      <c r="I362" s="47">
        <f t="shared" si="22"/>
        <v>452328.20999999996</v>
      </c>
      <c r="J362" s="47">
        <f t="shared" si="22"/>
        <v>2406.1999999999998</v>
      </c>
      <c r="K362" s="47">
        <f t="shared" si="22"/>
        <v>0</v>
      </c>
      <c r="L362" s="47">
        <f t="shared" si="22"/>
        <v>925570.39999999991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211249.13</v>
      </c>
      <c r="G367" s="18">
        <v>84499.65</v>
      </c>
      <c r="H367" s="18">
        <v>126749.48</v>
      </c>
      <c r="I367" s="56">
        <f>SUM(F367:H367)</f>
        <v>422498.26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14914.98</v>
      </c>
      <c r="G368" s="63">
        <v>5965.99</v>
      </c>
      <c r="H368" s="63">
        <v>8948.98</v>
      </c>
      <c r="I368" s="56">
        <f>SUM(F368:H368)</f>
        <v>29829.95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226164.11000000002</v>
      </c>
      <c r="G369" s="47">
        <f>SUM(G367:G368)</f>
        <v>90465.64</v>
      </c>
      <c r="H369" s="47">
        <f>SUM(H367:H368)</f>
        <v>135698.46</v>
      </c>
      <c r="I369" s="47">
        <f>SUM(I367:I368)</f>
        <v>452328.21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384</v>
      </c>
      <c r="I379" s="18"/>
      <c r="J379" s="18">
        <v>168555.18</v>
      </c>
      <c r="K379" s="18"/>
      <c r="L379" s="13">
        <f t="shared" si="23"/>
        <v>168939.18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384</v>
      </c>
      <c r="I382" s="41">
        <f t="shared" si="24"/>
        <v>0</v>
      </c>
      <c r="J382" s="47">
        <f t="shared" si="24"/>
        <v>168555.18</v>
      </c>
      <c r="K382" s="47">
        <f t="shared" si="24"/>
        <v>0</v>
      </c>
      <c r="L382" s="47">
        <f t="shared" si="24"/>
        <v>168939.18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3615.12</v>
      </c>
      <c r="I396" s="18"/>
      <c r="J396" s="24" t="s">
        <v>289</v>
      </c>
      <c r="K396" s="24" t="s">
        <v>289</v>
      </c>
      <c r="L396" s="56">
        <f t="shared" si="26"/>
        <v>3615.12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3838.44</v>
      </c>
      <c r="I397" s="18"/>
      <c r="J397" s="24" t="s">
        <v>289</v>
      </c>
      <c r="K397" s="24" t="s">
        <v>289</v>
      </c>
      <c r="L397" s="56">
        <f t="shared" si="26"/>
        <v>3838.44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60000</v>
      </c>
      <c r="H400" s="18">
        <v>41865.08</v>
      </c>
      <c r="I400" s="18"/>
      <c r="J400" s="24" t="s">
        <v>289</v>
      </c>
      <c r="K400" s="24" t="s">
        <v>289</v>
      </c>
      <c r="L400" s="56">
        <f t="shared" si="26"/>
        <v>101865.08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49318.64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109318.64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49318.64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109318.64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3000</v>
      </c>
      <c r="L426" s="56">
        <f t="shared" si="29"/>
        <v>3000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3000</v>
      </c>
      <c r="L427" s="47">
        <f t="shared" si="30"/>
        <v>3000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3000</v>
      </c>
      <c r="L434" s="47">
        <f t="shared" si="32"/>
        <v>3000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43941.57</v>
      </c>
      <c r="H441" s="18"/>
      <c r="I441" s="56">
        <f t="shared" si="33"/>
        <v>43941.57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1200622.79</v>
      </c>
      <c r="H442" s="18"/>
      <c r="I442" s="56">
        <f t="shared" si="33"/>
        <v>1200622.79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1244564.3600000001</v>
      </c>
      <c r="H446" s="13">
        <f>SUM(H439:H445)</f>
        <v>0</v>
      </c>
      <c r="I446" s="13">
        <f>SUM(I439:I445)</f>
        <v>1244564.3600000001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1244564.3600000001</v>
      </c>
      <c r="H459" s="18"/>
      <c r="I459" s="56">
        <f t="shared" si="34"/>
        <v>1244564.3600000001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1244564.3600000001</v>
      </c>
      <c r="H460" s="83">
        <f>SUM(H454:H459)</f>
        <v>0</v>
      </c>
      <c r="I460" s="83">
        <f>SUM(I454:I459)</f>
        <v>1244564.3600000001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1244564.3600000001</v>
      </c>
      <c r="H461" s="42">
        <f>H452+H460</f>
        <v>0</v>
      </c>
      <c r="I461" s="42">
        <f>I452+I460</f>
        <v>1244564.3600000001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2055660.21</v>
      </c>
      <c r="G465" s="18">
        <v>9320.6200000000008</v>
      </c>
      <c r="H465" s="18"/>
      <c r="I465" s="18">
        <v>519109.78</v>
      </c>
      <c r="J465" s="18">
        <v>1138245.72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43510808.020000003</v>
      </c>
      <c r="G468" s="18">
        <v>924287.38</v>
      </c>
      <c r="H468" s="18">
        <v>1736530.92</v>
      </c>
      <c r="I468" s="18"/>
      <c r="J468" s="18">
        <v>109318.64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43510808.020000003</v>
      </c>
      <c r="G470" s="53">
        <f>SUM(G468:G469)</f>
        <v>924287.38</v>
      </c>
      <c r="H470" s="53">
        <f>SUM(H468:H469)</f>
        <v>1736530.92</v>
      </c>
      <c r="I470" s="53">
        <f>SUM(I468:I469)</f>
        <v>0</v>
      </c>
      <c r="J470" s="53">
        <f>SUM(J468:J469)</f>
        <v>109318.64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43417386.289999999</v>
      </c>
      <c r="G472" s="18">
        <v>925570.4</v>
      </c>
      <c r="H472" s="18">
        <v>1736530.92</v>
      </c>
      <c r="I472" s="18">
        <v>168939.18</v>
      </c>
      <c r="J472" s="18">
        <v>3000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43417386.289999999</v>
      </c>
      <c r="G474" s="53">
        <f>SUM(G472:G473)</f>
        <v>925570.4</v>
      </c>
      <c r="H474" s="53">
        <f>SUM(H472:H473)</f>
        <v>1736530.92</v>
      </c>
      <c r="I474" s="53">
        <f>SUM(I472:I473)</f>
        <v>168939.18</v>
      </c>
      <c r="J474" s="53">
        <f>SUM(J472:J473)</f>
        <v>3000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2149081.9400000051</v>
      </c>
      <c r="G476" s="53">
        <f>(G465+G470)- G474</f>
        <v>8037.5999999999767</v>
      </c>
      <c r="H476" s="53">
        <f>(H465+H470)- H474</f>
        <v>0</v>
      </c>
      <c r="I476" s="53">
        <f>(I465+I470)- I474</f>
        <v>350170.60000000003</v>
      </c>
      <c r="J476" s="53">
        <f>(J465+J470)- J474</f>
        <v>1244564.3599999999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>
        <v>30</v>
      </c>
      <c r="H490" s="154">
        <v>30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912</v>
      </c>
      <c r="H491" s="155" t="s">
        <v>913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915</v>
      </c>
      <c r="H492" s="155" t="s">
        <v>916</v>
      </c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325000</v>
      </c>
      <c r="G493" s="18">
        <v>25000000</v>
      </c>
      <c r="H493" s="18">
        <v>325508500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3.61</v>
      </c>
      <c r="G494" s="18">
        <v>4.3</v>
      </c>
      <c r="H494" s="18">
        <v>4.46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65000</v>
      </c>
      <c r="G495" s="18">
        <v>20594964.969999999</v>
      </c>
      <c r="H495" s="18">
        <v>27787135.309999999</v>
      </c>
      <c r="I495" s="18"/>
      <c r="J495" s="18"/>
      <c r="K495" s="53">
        <f>SUM(F495:J495)</f>
        <v>48447100.280000001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65000</v>
      </c>
      <c r="G497" s="18">
        <v>1262120.8</v>
      </c>
      <c r="H497" s="18">
        <v>1800614.95</v>
      </c>
      <c r="I497" s="18"/>
      <c r="J497" s="18"/>
      <c r="K497" s="53">
        <f t="shared" si="35"/>
        <v>3127735.75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>
        <v>19332844.170000002</v>
      </c>
      <c r="H498" s="204">
        <v>25986520.359999999</v>
      </c>
      <c r="I498" s="204"/>
      <c r="J498" s="204"/>
      <c r="K498" s="205">
        <f t="shared" si="35"/>
        <v>45319364.530000001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>
        <v>19592354.120000001</v>
      </c>
      <c r="H499" s="18">
        <v>28725148.390000001</v>
      </c>
      <c r="I499" s="18"/>
      <c r="J499" s="18"/>
      <c r="K499" s="53">
        <f t="shared" si="35"/>
        <v>48317502.510000005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38925198.290000007</v>
      </c>
      <c r="H500" s="42">
        <f>SUM(H498:H499)</f>
        <v>54711668.75</v>
      </c>
      <c r="I500" s="42">
        <f>SUM(I498:I499)</f>
        <v>0</v>
      </c>
      <c r="J500" s="42">
        <f>SUM(J498:J499)</f>
        <v>0</v>
      </c>
      <c r="K500" s="42">
        <f t="shared" si="35"/>
        <v>93636867.040000007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>
        <v>1208963.69</v>
      </c>
      <c r="H501" s="204">
        <v>1714477.4</v>
      </c>
      <c r="I501" s="204"/>
      <c r="J501" s="204"/>
      <c r="K501" s="205">
        <f t="shared" si="35"/>
        <v>2923441.09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>
        <v>286937.06</v>
      </c>
      <c r="H502" s="18">
        <v>390310.1</v>
      </c>
      <c r="I502" s="18"/>
      <c r="J502" s="18"/>
      <c r="K502" s="53">
        <f t="shared" si="35"/>
        <v>677247.15999999992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1495900.75</v>
      </c>
      <c r="H503" s="42">
        <f>SUM(H501:H502)</f>
        <v>2104787.5</v>
      </c>
      <c r="I503" s="42">
        <f>SUM(I501:I502)</f>
        <v>0</v>
      </c>
      <c r="J503" s="42">
        <f>SUM(J501:J502)</f>
        <v>0</v>
      </c>
      <c r="K503" s="42">
        <f t="shared" si="35"/>
        <v>3600688.25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823214.13</v>
      </c>
      <c r="G507" s="144">
        <v>123066.37</v>
      </c>
      <c r="H507" s="144">
        <v>102049.99</v>
      </c>
      <c r="I507" s="144">
        <v>844230.51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867743</v>
      </c>
      <c r="G511" s="24" t="s">
        <v>289</v>
      </c>
      <c r="H511" s="18">
        <v>867743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73049254.269999996</v>
      </c>
      <c r="G513" s="24" t="s">
        <v>289</v>
      </c>
      <c r="H513" s="18">
        <v>70841328.030000001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1063720.3899999999</v>
      </c>
      <c r="G514" s="24" t="s">
        <v>289</v>
      </c>
      <c r="H514" s="18">
        <v>1016466.61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74980717.659999996</v>
      </c>
      <c r="G517" s="42">
        <f>SUM(G511:G516)</f>
        <v>0</v>
      </c>
      <c r="H517" s="42">
        <f>SUM(H511:H516)</f>
        <v>72725537.640000001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1315531.07</v>
      </c>
      <c r="G521" s="18">
        <v>732014.84</v>
      </c>
      <c r="H521" s="18">
        <v>265715.03000000003</v>
      </c>
      <c r="I521" s="18">
        <v>14533.76</v>
      </c>
      <c r="J521" s="18">
        <v>8374.9500000000007</v>
      </c>
      <c r="K521" s="18">
        <v>489.28</v>
      </c>
      <c r="L521" s="88">
        <f>SUM(F521:K521)</f>
        <v>2336658.9300000002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447280.56</v>
      </c>
      <c r="G522" s="18">
        <v>248885.05</v>
      </c>
      <c r="H522" s="18">
        <v>90343.11</v>
      </c>
      <c r="I522" s="18">
        <v>4941.4799999999996</v>
      </c>
      <c r="J522" s="18">
        <v>2847.48</v>
      </c>
      <c r="K522" s="18">
        <v>166.36</v>
      </c>
      <c r="L522" s="88">
        <f>SUM(F522:K522)</f>
        <v>794464.03999999992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868250.5</v>
      </c>
      <c r="G523" s="18">
        <v>483129.8</v>
      </c>
      <c r="H523" s="18">
        <v>175371.92</v>
      </c>
      <c r="I523" s="18">
        <v>9592.2800000000007</v>
      </c>
      <c r="J523" s="18">
        <v>5527.47</v>
      </c>
      <c r="K523" s="18">
        <v>322.92</v>
      </c>
      <c r="L523" s="88">
        <f>SUM(F523:K523)</f>
        <v>1542194.89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2631062.13</v>
      </c>
      <c r="G524" s="108">
        <f t="shared" ref="G524:L524" si="36">SUM(G521:G523)</f>
        <v>1464029.69</v>
      </c>
      <c r="H524" s="108">
        <f t="shared" si="36"/>
        <v>531430.06000000006</v>
      </c>
      <c r="I524" s="108">
        <f t="shared" si="36"/>
        <v>29067.519999999997</v>
      </c>
      <c r="J524" s="108">
        <f t="shared" si="36"/>
        <v>16749.900000000001</v>
      </c>
      <c r="K524" s="108">
        <f t="shared" si="36"/>
        <v>978.56</v>
      </c>
      <c r="L524" s="89">
        <f t="shared" si="36"/>
        <v>4673317.8600000003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616655.18999999994</v>
      </c>
      <c r="G526" s="18">
        <v>343131.96</v>
      </c>
      <c r="H526" s="18">
        <v>124553.92</v>
      </c>
      <c r="I526" s="18">
        <v>6812.7</v>
      </c>
      <c r="J526" s="18">
        <v>3925.76</v>
      </c>
      <c r="K526" s="18">
        <v>229.35</v>
      </c>
      <c r="L526" s="88">
        <f>SUM(F526:K526)</f>
        <v>1095308.8799999999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209662.76</v>
      </c>
      <c r="G527" s="18">
        <v>116664.87</v>
      </c>
      <c r="H527" s="18">
        <v>42348.33</v>
      </c>
      <c r="I527" s="18">
        <v>2316.3200000000002</v>
      </c>
      <c r="J527" s="18">
        <v>1334.76</v>
      </c>
      <c r="K527" s="18">
        <v>77.98</v>
      </c>
      <c r="L527" s="88">
        <f>SUM(F527:K527)</f>
        <v>372405.02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406992.42</v>
      </c>
      <c r="G528" s="18">
        <v>226467.09</v>
      </c>
      <c r="H528" s="18">
        <v>82205.59</v>
      </c>
      <c r="I528" s="18">
        <v>4496.38</v>
      </c>
      <c r="J528" s="18">
        <v>2591</v>
      </c>
      <c r="K528" s="18">
        <v>151.37</v>
      </c>
      <c r="L528" s="88">
        <f>SUM(F528:K528)</f>
        <v>722903.85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1233310.3699999999</v>
      </c>
      <c r="G529" s="89">
        <f t="shared" ref="G529:L529" si="37">SUM(G526:G528)</f>
        <v>686263.92</v>
      </c>
      <c r="H529" s="89">
        <f t="shared" si="37"/>
        <v>249107.84</v>
      </c>
      <c r="I529" s="89">
        <f t="shared" si="37"/>
        <v>13625.400000000001</v>
      </c>
      <c r="J529" s="89">
        <f t="shared" si="37"/>
        <v>7851.52</v>
      </c>
      <c r="K529" s="89">
        <f t="shared" si="37"/>
        <v>458.7</v>
      </c>
      <c r="L529" s="89">
        <f t="shared" si="37"/>
        <v>2190617.75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123331.04</v>
      </c>
      <c r="G531" s="18">
        <v>68626.39</v>
      </c>
      <c r="H531" s="18">
        <v>24910.78</v>
      </c>
      <c r="I531" s="18">
        <v>1362.54</v>
      </c>
      <c r="J531" s="18">
        <v>785.15</v>
      </c>
      <c r="K531" s="18">
        <v>45.87</v>
      </c>
      <c r="L531" s="88">
        <f>SUM(F531:K531)</f>
        <v>219061.77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41932.550000000003</v>
      </c>
      <c r="G532" s="18">
        <v>23332.97</v>
      </c>
      <c r="H532" s="18">
        <v>8469.67</v>
      </c>
      <c r="I532" s="18">
        <v>463.26</v>
      </c>
      <c r="J532" s="18">
        <v>266.95</v>
      </c>
      <c r="K532" s="18">
        <v>15.6</v>
      </c>
      <c r="L532" s="88">
        <f>SUM(F532:K532)</f>
        <v>74481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81398.48</v>
      </c>
      <c r="G533" s="18">
        <v>45293.42</v>
      </c>
      <c r="H533" s="18">
        <v>16441.12</v>
      </c>
      <c r="I533" s="18">
        <v>899.28</v>
      </c>
      <c r="J533" s="18">
        <v>518.20000000000005</v>
      </c>
      <c r="K533" s="18">
        <v>30.27</v>
      </c>
      <c r="L533" s="88">
        <f>SUM(F533:K533)</f>
        <v>144580.76999999999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246662.07</v>
      </c>
      <c r="G534" s="89">
        <f t="shared" ref="G534:L534" si="38">SUM(G531:G533)</f>
        <v>137252.78</v>
      </c>
      <c r="H534" s="89">
        <f t="shared" si="38"/>
        <v>49821.569999999992</v>
      </c>
      <c r="I534" s="89">
        <f t="shared" si="38"/>
        <v>2725.08</v>
      </c>
      <c r="J534" s="89">
        <f t="shared" si="38"/>
        <v>1570.3</v>
      </c>
      <c r="K534" s="89">
        <f t="shared" si="38"/>
        <v>91.74</v>
      </c>
      <c r="L534" s="89">
        <f t="shared" si="38"/>
        <v>438123.54000000004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1875.05</v>
      </c>
      <c r="I536" s="18"/>
      <c r="J536" s="18"/>
      <c r="K536" s="18"/>
      <c r="L536" s="88">
        <f>SUM(F536:K536)</f>
        <v>1875.05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637.52</v>
      </c>
      <c r="I537" s="18"/>
      <c r="J537" s="18"/>
      <c r="K537" s="18"/>
      <c r="L537" s="88">
        <f>SUM(F537:K537)</f>
        <v>637.52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1237.53</v>
      </c>
      <c r="I538" s="18"/>
      <c r="J538" s="18"/>
      <c r="K538" s="18"/>
      <c r="L538" s="88">
        <f>SUM(F538:K538)</f>
        <v>1237.53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3750.0999999999995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3750.0999999999995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122223.43</v>
      </c>
      <c r="G541" s="18">
        <v>21440.720000000001</v>
      </c>
      <c r="H541" s="18">
        <v>9919</v>
      </c>
      <c r="I541" s="18">
        <v>595.52</v>
      </c>
      <c r="J541" s="18"/>
      <c r="K541" s="18"/>
      <c r="L541" s="88">
        <f>SUM(F541:K541)</f>
        <v>154178.66999999998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41555.97</v>
      </c>
      <c r="G542" s="18">
        <v>7289.84</v>
      </c>
      <c r="H542" s="18">
        <v>3372.46</v>
      </c>
      <c r="I542" s="18">
        <v>202.48</v>
      </c>
      <c r="J542" s="18"/>
      <c r="K542" s="18"/>
      <c r="L542" s="88">
        <f>SUM(F542:K542)</f>
        <v>52420.75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80667.460000000006</v>
      </c>
      <c r="G543" s="18">
        <v>14150.88</v>
      </c>
      <c r="H543" s="18">
        <v>6546.54</v>
      </c>
      <c r="I543" s="18">
        <v>393.05</v>
      </c>
      <c r="J543" s="18"/>
      <c r="K543" s="18"/>
      <c r="L543" s="88">
        <f>SUM(F543:K543)</f>
        <v>101757.93000000001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244446.86</v>
      </c>
      <c r="G544" s="193">
        <f t="shared" ref="G544:L544" si="40">SUM(G541:G543)</f>
        <v>42881.440000000002</v>
      </c>
      <c r="H544" s="193">
        <f t="shared" si="40"/>
        <v>19838</v>
      </c>
      <c r="I544" s="193">
        <f t="shared" si="40"/>
        <v>1191.05</v>
      </c>
      <c r="J544" s="193">
        <f t="shared" si="40"/>
        <v>0</v>
      </c>
      <c r="K544" s="193">
        <f t="shared" si="40"/>
        <v>0</v>
      </c>
      <c r="L544" s="193">
        <f t="shared" si="40"/>
        <v>308357.34999999998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4355481.43</v>
      </c>
      <c r="G545" s="89">
        <f t="shared" ref="G545:L545" si="41">G524+G529+G534+G539+G544</f>
        <v>2330427.8299999996</v>
      </c>
      <c r="H545" s="89">
        <f t="shared" si="41"/>
        <v>853947.57</v>
      </c>
      <c r="I545" s="89">
        <f t="shared" si="41"/>
        <v>46609.05</v>
      </c>
      <c r="J545" s="89">
        <f t="shared" si="41"/>
        <v>26171.72</v>
      </c>
      <c r="K545" s="89">
        <f t="shared" si="41"/>
        <v>1529</v>
      </c>
      <c r="L545" s="89">
        <f t="shared" si="41"/>
        <v>7614166.5999999996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2336658.9300000002</v>
      </c>
      <c r="G549" s="87">
        <f>L526</f>
        <v>1095308.8799999999</v>
      </c>
      <c r="H549" s="87">
        <f>L531</f>
        <v>219061.77</v>
      </c>
      <c r="I549" s="87">
        <f>L536</f>
        <v>1875.05</v>
      </c>
      <c r="J549" s="87">
        <f>L541</f>
        <v>154178.66999999998</v>
      </c>
      <c r="K549" s="87">
        <f>SUM(F549:J549)</f>
        <v>3807083.3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794464.03999999992</v>
      </c>
      <c r="G550" s="87">
        <f>L527</f>
        <v>372405.02</v>
      </c>
      <c r="H550" s="87">
        <f>L532</f>
        <v>74481</v>
      </c>
      <c r="I550" s="87">
        <f>L537</f>
        <v>637.52</v>
      </c>
      <c r="J550" s="87">
        <f>L542</f>
        <v>52420.75</v>
      </c>
      <c r="K550" s="87">
        <f>SUM(F550:J550)</f>
        <v>1294408.33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1542194.89</v>
      </c>
      <c r="G551" s="87">
        <f>L528</f>
        <v>722903.85</v>
      </c>
      <c r="H551" s="87">
        <f>L533</f>
        <v>144580.76999999999</v>
      </c>
      <c r="I551" s="87">
        <f>L538</f>
        <v>1237.53</v>
      </c>
      <c r="J551" s="87">
        <f>L543</f>
        <v>101757.93000000001</v>
      </c>
      <c r="K551" s="87">
        <f>SUM(F551:J551)</f>
        <v>2512674.9699999997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4673317.8600000003</v>
      </c>
      <c r="G552" s="89">
        <f t="shared" si="42"/>
        <v>2190617.75</v>
      </c>
      <c r="H552" s="89">
        <f t="shared" si="42"/>
        <v>438123.54000000004</v>
      </c>
      <c r="I552" s="89">
        <f t="shared" si="42"/>
        <v>3750.0999999999995</v>
      </c>
      <c r="J552" s="89">
        <f t="shared" si="42"/>
        <v>308357.34999999998</v>
      </c>
      <c r="K552" s="89">
        <f t="shared" si="42"/>
        <v>7614166.5999999996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2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274">
        <v>34979.24</v>
      </c>
      <c r="G562" s="274">
        <v>7379.83</v>
      </c>
      <c r="H562" s="274">
        <v>1273.25</v>
      </c>
      <c r="I562" s="274">
        <v>510.38</v>
      </c>
      <c r="J562" s="274">
        <v>0</v>
      </c>
      <c r="K562" s="274">
        <v>98</v>
      </c>
      <c r="L562" s="88">
        <f>SUM(F562:K562)</f>
        <v>44240.7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34979.24</v>
      </c>
      <c r="G565" s="89">
        <f t="shared" si="44"/>
        <v>7379.83</v>
      </c>
      <c r="H565" s="89">
        <f t="shared" si="44"/>
        <v>1273.25</v>
      </c>
      <c r="I565" s="89">
        <f t="shared" si="44"/>
        <v>510.38</v>
      </c>
      <c r="J565" s="89">
        <f t="shared" si="44"/>
        <v>0</v>
      </c>
      <c r="K565" s="89">
        <f t="shared" si="44"/>
        <v>98</v>
      </c>
      <c r="L565" s="89">
        <f t="shared" si="44"/>
        <v>44240.7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34979.24</v>
      </c>
      <c r="G571" s="89">
        <f t="shared" ref="G571:L571" si="46">G560+G565+G570</f>
        <v>7379.83</v>
      </c>
      <c r="H571" s="89">
        <f t="shared" si="46"/>
        <v>1273.25</v>
      </c>
      <c r="I571" s="89">
        <f t="shared" si="46"/>
        <v>510.38</v>
      </c>
      <c r="J571" s="89">
        <f t="shared" si="46"/>
        <v>0</v>
      </c>
      <c r="K571" s="89">
        <f t="shared" si="46"/>
        <v>98</v>
      </c>
      <c r="L571" s="89">
        <f t="shared" si="46"/>
        <v>44240.7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9907.32</v>
      </c>
      <c r="G575" s="18">
        <v>14159.79</v>
      </c>
      <c r="H575" s="18">
        <v>98036.17</v>
      </c>
      <c r="I575" s="87">
        <f>SUM(F575:H575)</f>
        <v>122103.28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111410.88</v>
      </c>
      <c r="G582" s="18">
        <v>136090.37</v>
      </c>
      <c r="H582" s="18">
        <v>238620.55</v>
      </c>
      <c r="I582" s="87">
        <f t="shared" si="47"/>
        <v>486121.8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1269882.3999999999</v>
      </c>
      <c r="I591" s="18">
        <v>234372.3</v>
      </c>
      <c r="J591" s="18">
        <v>272133.92</v>
      </c>
      <c r="K591" s="104">
        <f t="shared" ref="K591:K597" si="48">SUM(H591:J591)</f>
        <v>1776388.6199999999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154178.68</v>
      </c>
      <c r="I592" s="18">
        <v>52420.75</v>
      </c>
      <c r="J592" s="18">
        <v>101757.92</v>
      </c>
      <c r="K592" s="104">
        <f t="shared" si="48"/>
        <v>308357.34999999998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1183.82</v>
      </c>
      <c r="I593" s="18">
        <v>218.49</v>
      </c>
      <c r="J593" s="18">
        <v>253.69</v>
      </c>
      <c r="K593" s="104">
        <f t="shared" si="48"/>
        <v>1656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44523.61</v>
      </c>
      <c r="I594" s="18">
        <v>8217.3799999999992</v>
      </c>
      <c r="J594" s="18">
        <v>9541.34</v>
      </c>
      <c r="K594" s="104">
        <f t="shared" si="48"/>
        <v>62282.33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27792.9</v>
      </c>
      <c r="I595" s="18">
        <v>5129.5200000000004</v>
      </c>
      <c r="J595" s="18">
        <v>5955.98</v>
      </c>
      <c r="K595" s="104">
        <f t="shared" si="48"/>
        <v>38878.399999999994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1497561.41</v>
      </c>
      <c r="I598" s="108">
        <f>SUM(I591:I597)</f>
        <v>300358.44</v>
      </c>
      <c r="J598" s="108">
        <f>SUM(J591:J597)</f>
        <v>389642.85</v>
      </c>
      <c r="K598" s="108">
        <f>SUM(K591:K597)</f>
        <v>2187562.6999999997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107.7</v>
      </c>
      <c r="I603" s="18"/>
      <c r="J603" s="18"/>
      <c r="K603" s="104">
        <f>SUM(H603:J603)</f>
        <v>107.7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263454.92</v>
      </c>
      <c r="I604" s="18">
        <v>173108.82</v>
      </c>
      <c r="J604" s="18">
        <v>346436.64</v>
      </c>
      <c r="K604" s="104">
        <f>SUM(H604:J604)</f>
        <v>783000.38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263562.62</v>
      </c>
      <c r="I605" s="108">
        <f>SUM(I602:I604)</f>
        <v>173108.82</v>
      </c>
      <c r="J605" s="108">
        <f>SUM(J602:J604)</f>
        <v>346436.64</v>
      </c>
      <c r="K605" s="108">
        <f>SUM(K602:K604)</f>
        <v>783108.08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12996.19</v>
      </c>
      <c r="G611" s="18">
        <v>2332.92</v>
      </c>
      <c r="H611" s="18">
        <v>284</v>
      </c>
      <c r="I611" s="18"/>
      <c r="J611" s="18"/>
      <c r="K611" s="18"/>
      <c r="L611" s="88">
        <f>SUM(F611:K611)</f>
        <v>15613.11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32399.95</v>
      </c>
      <c r="G613" s="18">
        <v>6565.34</v>
      </c>
      <c r="H613" s="18">
        <v>432</v>
      </c>
      <c r="I613" s="18">
        <v>441.81</v>
      </c>
      <c r="J613" s="18"/>
      <c r="K613" s="18"/>
      <c r="L613" s="88">
        <f>SUM(F613:K613)</f>
        <v>39839.1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45396.14</v>
      </c>
      <c r="G614" s="108">
        <f t="shared" si="49"/>
        <v>8898.26</v>
      </c>
      <c r="H614" s="108">
        <f t="shared" si="49"/>
        <v>716</v>
      </c>
      <c r="I614" s="108">
        <f t="shared" si="49"/>
        <v>441.81</v>
      </c>
      <c r="J614" s="108">
        <f t="shared" si="49"/>
        <v>0</v>
      </c>
      <c r="K614" s="108">
        <f t="shared" si="49"/>
        <v>0</v>
      </c>
      <c r="L614" s="89">
        <f t="shared" si="49"/>
        <v>55452.21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2488625.7399999998</v>
      </c>
      <c r="H617" s="109">
        <f>SUM(F52)</f>
        <v>2488625.7399999998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38646.519999999997</v>
      </c>
      <c r="H618" s="109">
        <f>SUM(G52)</f>
        <v>38646.519999999997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332224.23</v>
      </c>
      <c r="H619" s="109">
        <f>SUM(H52)</f>
        <v>332224.23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350170.6</v>
      </c>
      <c r="H620" s="109">
        <f>SUM(I52)</f>
        <v>350170.6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1244564.3600000001</v>
      </c>
      <c r="H621" s="109">
        <f>SUM(J52)</f>
        <v>1244564.3600000001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2149081.94</v>
      </c>
      <c r="H622" s="109">
        <f>F476</f>
        <v>2149081.9400000051</v>
      </c>
      <c r="I622" s="121" t="s">
        <v>101</v>
      </c>
      <c r="J622" s="109">
        <f t="shared" ref="J622:J655" si="50">G622-H622</f>
        <v>-5.1222741603851318E-9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8037.6</v>
      </c>
      <c r="H623" s="109">
        <f>G476</f>
        <v>8037.5999999999767</v>
      </c>
      <c r="I623" s="121" t="s">
        <v>102</v>
      </c>
      <c r="J623" s="109">
        <f t="shared" si="50"/>
        <v>2.3646862246096134E-11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350170.6</v>
      </c>
      <c r="H625" s="109">
        <f>I476</f>
        <v>350170.60000000003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1244564.3600000001</v>
      </c>
      <c r="H626" s="109">
        <f>J476</f>
        <v>1244564.3599999999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43510808.019999996</v>
      </c>
      <c r="H627" s="104">
        <f>SUM(F468)</f>
        <v>43510808.020000003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924287.38</v>
      </c>
      <c r="H628" s="104">
        <f>SUM(G468)</f>
        <v>924287.38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1736530.92</v>
      </c>
      <c r="H629" s="104">
        <f>SUM(H468)</f>
        <v>1736530.92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109318.64</v>
      </c>
      <c r="H631" s="104">
        <f>SUM(J468)</f>
        <v>109318.64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43417386.289999999</v>
      </c>
      <c r="H632" s="104">
        <f>SUM(F472)</f>
        <v>43417386.289999999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1736530.9200000004</v>
      </c>
      <c r="H633" s="104">
        <f>SUM(H472)</f>
        <v>1736530.92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452328.20999999996</v>
      </c>
      <c r="H634" s="104">
        <f>I369</f>
        <v>452328.21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925570.39999999991</v>
      </c>
      <c r="H635" s="104">
        <f>SUM(G472)</f>
        <v>925570.4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168939.18</v>
      </c>
      <c r="H636" s="104">
        <f>SUM(I472)</f>
        <v>168939.18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109318.64</v>
      </c>
      <c r="H637" s="164">
        <f>SUM(J468)</f>
        <v>109318.64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3000</v>
      </c>
      <c r="H638" s="164">
        <f>SUM(J472)</f>
        <v>3000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1244564.3600000001</v>
      </c>
      <c r="H640" s="104">
        <f>SUM(G461)</f>
        <v>1244564.3600000001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1244564.3600000001</v>
      </c>
      <c r="H642" s="104">
        <f>SUM(I461)</f>
        <v>1244564.3600000001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49318.64</v>
      </c>
      <c r="H644" s="104">
        <f>H408</f>
        <v>49318.64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60000</v>
      </c>
      <c r="H645" s="104">
        <f>G408</f>
        <v>60000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109318.64</v>
      </c>
      <c r="H646" s="104">
        <f>L408</f>
        <v>109318.64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2187562.6999999997</v>
      </c>
      <c r="H647" s="104">
        <f>L208+L226+L244</f>
        <v>2187562.6999999997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783108.08</v>
      </c>
      <c r="H648" s="104">
        <f>(J257+J338)-(J255+J336)</f>
        <v>783108.08000000007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1497561.41</v>
      </c>
      <c r="H649" s="104">
        <f>H598</f>
        <v>1497561.41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300358.43999999994</v>
      </c>
      <c r="H650" s="104">
        <f>I598</f>
        <v>300358.44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389642.85000000003</v>
      </c>
      <c r="H651" s="104">
        <f>J598</f>
        <v>389642.85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60000</v>
      </c>
      <c r="H655" s="104">
        <f>K266+K347</f>
        <v>60000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20760012.579999998</v>
      </c>
      <c r="G660" s="19">
        <f>(L229+L309+L359)</f>
        <v>7457385.9700000007</v>
      </c>
      <c r="H660" s="19">
        <f>(L247+L328+L360)</f>
        <v>13754049.620000003</v>
      </c>
      <c r="I660" s="19">
        <f>SUM(F660:H660)</f>
        <v>41971448.170000002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193550.5262707902</v>
      </c>
      <c r="G661" s="19">
        <f>(L359/IF(SUM(L358:L360)=0,1,SUM(L358:L360))*(SUM(G97:G110)))</f>
        <v>66912.895528987327</v>
      </c>
      <c r="H661" s="19">
        <f>(L360/IF(SUM(L358:L360)=0,1,SUM(L358:L360))*(SUM(G97:G110)))</f>
        <v>188868.39820022247</v>
      </c>
      <c r="I661" s="19">
        <f>SUM(F661:H661)</f>
        <v>449331.82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1383743.25</v>
      </c>
      <c r="G662" s="19">
        <f>(L226+L306)-(J226+J306)</f>
        <v>250631.17999999993</v>
      </c>
      <c r="H662" s="19">
        <f>(L244+L325)-(J244+J325)</f>
        <v>315051.96000000002</v>
      </c>
      <c r="I662" s="19">
        <f>SUM(F662:H662)</f>
        <v>1949426.39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400493.93</v>
      </c>
      <c r="G663" s="199">
        <f>SUM(G575:G587)+SUM(I602:I604)+L612</f>
        <v>323358.98</v>
      </c>
      <c r="H663" s="199">
        <f>SUM(H575:H587)+SUM(J602:J604)+L613</f>
        <v>722932.46</v>
      </c>
      <c r="I663" s="19">
        <f>SUM(F663:H663)</f>
        <v>1446785.3699999999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18782224.873729207</v>
      </c>
      <c r="G664" s="19">
        <f>G660-SUM(G661:G663)</f>
        <v>6816482.9144710135</v>
      </c>
      <c r="H664" s="19">
        <f>H660-SUM(H661:H663)</f>
        <v>12527196.80179978</v>
      </c>
      <c r="I664" s="19">
        <f>I660-SUM(I661:I663)</f>
        <v>38125904.590000004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1059.54</v>
      </c>
      <c r="G665" s="248">
        <v>364.79</v>
      </c>
      <c r="H665" s="248">
        <v>760.7</v>
      </c>
      <c r="I665" s="19">
        <f>SUM(F665:H665)</f>
        <v>2185.0299999999997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17726.77</v>
      </c>
      <c r="G667" s="19">
        <f>ROUND(G664/G665,2)</f>
        <v>18686.05</v>
      </c>
      <c r="H667" s="19">
        <f>ROUND(H664/H665,2)</f>
        <v>16467.990000000002</v>
      </c>
      <c r="I667" s="19">
        <f>ROUND(I664/I665,2)</f>
        <v>17448.689999999999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19.63</v>
      </c>
      <c r="I670" s="19">
        <f>SUM(F670:H670)</f>
        <v>19.63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17726.77</v>
      </c>
      <c r="G672" s="19">
        <f>ROUND((G664+G669)/(G665+G670),2)</f>
        <v>18686.05</v>
      </c>
      <c r="H672" s="19">
        <f>ROUND((H664+H669)/(H665+H670),2)</f>
        <v>16053.72</v>
      </c>
      <c r="I672" s="19">
        <f>ROUND((I664+I669)/(I665+I670),2)</f>
        <v>17293.330000000002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Governor Wentworth Regional 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11317042.269999998</v>
      </c>
      <c r="C9" s="229">
        <f>'DOE25'!G197+'DOE25'!G215+'DOE25'!G233+'DOE25'!G276+'DOE25'!G295+'DOE25'!G314</f>
        <v>5923282.5099999998</v>
      </c>
    </row>
    <row r="10" spans="1:3" x14ac:dyDescent="0.2">
      <c r="A10" t="s">
        <v>779</v>
      </c>
      <c r="B10" s="240">
        <v>10179679.52</v>
      </c>
      <c r="C10" s="240">
        <v>5327992.62</v>
      </c>
    </row>
    <row r="11" spans="1:3" x14ac:dyDescent="0.2">
      <c r="A11" t="s">
        <v>780</v>
      </c>
      <c r="B11" s="240">
        <v>608856.87</v>
      </c>
      <c r="C11" s="240">
        <v>318672.59999999998</v>
      </c>
    </row>
    <row r="12" spans="1:3" x14ac:dyDescent="0.2">
      <c r="A12" t="s">
        <v>781</v>
      </c>
      <c r="B12" s="240">
        <v>528505.88</v>
      </c>
      <c r="C12" s="240">
        <v>276617.28999999998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11317042.27</v>
      </c>
      <c r="C13" s="231">
        <f>SUM(C10:C12)</f>
        <v>5923282.5099999998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4111034.56</v>
      </c>
      <c r="C18" s="229">
        <f>'DOE25'!G198+'DOE25'!G216+'DOE25'!G234+'DOE25'!G277+'DOE25'!G296+'DOE25'!G315</f>
        <v>2287546.3900000006</v>
      </c>
    </row>
    <row r="19" spans="1:3" x14ac:dyDescent="0.2">
      <c r="A19" t="s">
        <v>779</v>
      </c>
      <c r="B19" s="240">
        <v>2659839.36</v>
      </c>
      <c r="C19" s="240">
        <v>1480042.51</v>
      </c>
    </row>
    <row r="20" spans="1:3" x14ac:dyDescent="0.2">
      <c r="A20" t="s">
        <v>780</v>
      </c>
      <c r="B20" s="240">
        <v>1246465.68</v>
      </c>
      <c r="C20" s="240">
        <v>693584.07</v>
      </c>
    </row>
    <row r="21" spans="1:3" x14ac:dyDescent="0.2">
      <c r="A21" t="s">
        <v>781</v>
      </c>
      <c r="B21" s="240">
        <v>204729.52</v>
      </c>
      <c r="C21" s="240">
        <v>113919.81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4111034.56</v>
      </c>
      <c r="C22" s="231">
        <f>SUM(C19:C21)</f>
        <v>2287546.39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789307.98</v>
      </c>
      <c r="C27" s="234">
        <f>'DOE25'!G199+'DOE25'!G217+'DOE25'!G235+'DOE25'!G278+'DOE25'!G297+'DOE25'!G316</f>
        <v>398312.45999999996</v>
      </c>
    </row>
    <row r="28" spans="1:3" x14ac:dyDescent="0.2">
      <c r="A28" t="s">
        <v>779</v>
      </c>
      <c r="B28" s="240">
        <v>521258.99</v>
      </c>
      <c r="C28" s="240">
        <v>263045.55</v>
      </c>
    </row>
    <row r="29" spans="1:3" x14ac:dyDescent="0.2">
      <c r="A29" t="s">
        <v>780</v>
      </c>
      <c r="B29" s="240">
        <v>121474.5</v>
      </c>
      <c r="C29" s="240">
        <v>61300.29</v>
      </c>
    </row>
    <row r="30" spans="1:3" x14ac:dyDescent="0.2">
      <c r="A30" t="s">
        <v>781</v>
      </c>
      <c r="B30" s="240">
        <v>146574.49</v>
      </c>
      <c r="C30" s="240">
        <v>73966.62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789307.98</v>
      </c>
      <c r="C31" s="231">
        <f>SUM(C28:C30)</f>
        <v>398312.45999999996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377167.70999999996</v>
      </c>
      <c r="C36" s="235">
        <f>'DOE25'!G200+'DOE25'!G218+'DOE25'!G236+'DOE25'!G279+'DOE25'!G298+'DOE25'!G317</f>
        <v>60509.32</v>
      </c>
    </row>
    <row r="37" spans="1:3" x14ac:dyDescent="0.2">
      <c r="A37" t="s">
        <v>779</v>
      </c>
      <c r="B37" s="240">
        <v>175156.68</v>
      </c>
      <c r="C37" s="240">
        <v>28100.53</v>
      </c>
    </row>
    <row r="38" spans="1:3" x14ac:dyDescent="0.2">
      <c r="A38" t="s">
        <v>780</v>
      </c>
      <c r="B38" s="240">
        <v>70417.210000000006</v>
      </c>
      <c r="C38" s="240">
        <v>11297.09</v>
      </c>
    </row>
    <row r="39" spans="1:3" x14ac:dyDescent="0.2">
      <c r="A39" t="s">
        <v>781</v>
      </c>
      <c r="B39" s="240">
        <v>131593.82</v>
      </c>
      <c r="C39" s="240">
        <v>21111.7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377167.71</v>
      </c>
      <c r="C40" s="231">
        <f>SUM(C37:C39)</f>
        <v>60509.319999999992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38" sqref="E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Governor Wentworth Regional 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26318113.27</v>
      </c>
      <c r="D5" s="20">
        <f>SUM('DOE25'!L197:L200)+SUM('DOE25'!L215:L218)+SUM('DOE25'!L233:L236)-F5-G5</f>
        <v>25930705.080000002</v>
      </c>
      <c r="E5" s="243"/>
      <c r="F5" s="255">
        <f>SUM('DOE25'!J197:J200)+SUM('DOE25'!J215:J218)+SUM('DOE25'!J233:J236)</f>
        <v>374405.11</v>
      </c>
      <c r="G5" s="53">
        <f>SUM('DOE25'!K197:K200)+SUM('DOE25'!K215:K218)+SUM('DOE25'!K233:K236)</f>
        <v>13003.08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1854463.61</v>
      </c>
      <c r="D6" s="20">
        <f>'DOE25'!L202+'DOE25'!L220+'DOE25'!L238-F6-G6</f>
        <v>1849762.1400000001</v>
      </c>
      <c r="E6" s="243"/>
      <c r="F6" s="255">
        <f>'DOE25'!J202+'DOE25'!J220+'DOE25'!J238</f>
        <v>4536.47</v>
      </c>
      <c r="G6" s="53">
        <f>'DOE25'!K202+'DOE25'!K220+'DOE25'!K238</f>
        <v>165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1396773.42</v>
      </c>
      <c r="D7" s="20">
        <f>'DOE25'!L203+'DOE25'!L221+'DOE25'!L239-F7-G7</f>
        <v>1335799.76</v>
      </c>
      <c r="E7" s="243"/>
      <c r="F7" s="255">
        <f>'DOE25'!J203+'DOE25'!J221+'DOE25'!J239</f>
        <v>59647.78</v>
      </c>
      <c r="G7" s="53">
        <f>'DOE25'!K203+'DOE25'!K221+'DOE25'!K239</f>
        <v>1325.88</v>
      </c>
      <c r="H7" s="259"/>
    </row>
    <row r="8" spans="1:9" x14ac:dyDescent="0.2">
      <c r="A8" s="32">
        <v>2300</v>
      </c>
      <c r="B8" t="s">
        <v>802</v>
      </c>
      <c r="C8" s="245">
        <f t="shared" si="0"/>
        <v>36592.39000000005</v>
      </c>
      <c r="D8" s="243"/>
      <c r="E8" s="20">
        <f>'DOE25'!L204+'DOE25'!L222+'DOE25'!L240-F8-G8-D9-D11</f>
        <v>27142.430000000051</v>
      </c>
      <c r="F8" s="255">
        <f>'DOE25'!J204+'DOE25'!J222+'DOE25'!J240</f>
        <v>162</v>
      </c>
      <c r="G8" s="53">
        <f>'DOE25'!K204+'DOE25'!K222+'DOE25'!K240</f>
        <v>9287.9599999999991</v>
      </c>
      <c r="H8" s="259"/>
    </row>
    <row r="9" spans="1:9" x14ac:dyDescent="0.2">
      <c r="A9" s="32">
        <v>2310</v>
      </c>
      <c r="B9" t="s">
        <v>818</v>
      </c>
      <c r="C9" s="245">
        <f t="shared" si="0"/>
        <v>95466.07</v>
      </c>
      <c r="D9" s="244">
        <v>95466.07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16366.87</v>
      </c>
      <c r="D10" s="243"/>
      <c r="E10" s="244">
        <v>16366.87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622704.57999999996</v>
      </c>
      <c r="D11" s="244">
        <v>622704.57999999996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2587550.69</v>
      </c>
      <c r="D12" s="20">
        <f>'DOE25'!L205+'DOE25'!L223+'DOE25'!L241-F12-G12</f>
        <v>2569237.56</v>
      </c>
      <c r="E12" s="243"/>
      <c r="F12" s="255">
        <f>'DOE25'!J205+'DOE25'!J223+'DOE25'!J241</f>
        <v>9630.7300000000014</v>
      </c>
      <c r="G12" s="53">
        <f>'DOE25'!K205+'DOE25'!K223+'DOE25'!K241</f>
        <v>8682.4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479678.52999999997</v>
      </c>
      <c r="D13" s="243"/>
      <c r="E13" s="20">
        <f>'DOE25'!L206+'DOE25'!L224+'DOE25'!L242-F13-G13</f>
        <v>458014.35</v>
      </c>
      <c r="F13" s="255">
        <f>'DOE25'!J206+'DOE25'!J224+'DOE25'!J242</f>
        <v>161.97999999999999</v>
      </c>
      <c r="G13" s="53">
        <f>'DOE25'!K206+'DOE25'!K224+'DOE25'!K242</f>
        <v>21502.2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3941015.23</v>
      </c>
      <c r="D14" s="20">
        <f>'DOE25'!L207+'DOE25'!L225+'DOE25'!L243-F14-G14</f>
        <v>3922876.34</v>
      </c>
      <c r="E14" s="243"/>
      <c r="F14" s="255">
        <f>'DOE25'!J207+'DOE25'!J225+'DOE25'!J243</f>
        <v>18138.89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2187562.6999999997</v>
      </c>
      <c r="D15" s="20">
        <f>'DOE25'!L208+'DOE25'!L226+'DOE25'!L244-F15-G15</f>
        <v>1938926.3899999997</v>
      </c>
      <c r="E15" s="243"/>
      <c r="F15" s="255">
        <f>'DOE25'!J208+'DOE25'!J226+'DOE25'!J244</f>
        <v>248636.31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12162.76</v>
      </c>
      <c r="D17" s="20">
        <f>'DOE25'!L251-F17-G17</f>
        <v>12162.76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3465.99</v>
      </c>
      <c r="D19" s="20">
        <f>'DOE25'!L253-F19-G19</f>
        <v>3465.99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150000</v>
      </c>
      <c r="D22" s="243"/>
      <c r="E22" s="243"/>
      <c r="F22" s="255">
        <f>'DOE25'!L255+'DOE25'!L336</f>
        <v>150000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3671837.05</v>
      </c>
      <c r="D25" s="243"/>
      <c r="E25" s="243"/>
      <c r="F25" s="258"/>
      <c r="G25" s="256"/>
      <c r="H25" s="257">
        <f>'DOE25'!L260+'DOE25'!L261+'DOE25'!L341+'DOE25'!L342</f>
        <v>3671837.05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503072.1399999999</v>
      </c>
      <c r="D29" s="20">
        <f>'DOE25'!L358+'DOE25'!L359+'DOE25'!L360-'DOE25'!I367-F29-G29</f>
        <v>500665.93999999989</v>
      </c>
      <c r="E29" s="243"/>
      <c r="F29" s="255">
        <f>'DOE25'!J358+'DOE25'!J359+'DOE25'!J360</f>
        <v>2406.1999999999998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1736530.9200000002</v>
      </c>
      <c r="D31" s="20">
        <f>'DOE25'!L290+'DOE25'!L309+'DOE25'!L328+'DOE25'!L333+'DOE25'!L334+'DOE25'!L335-F31-G31</f>
        <v>1663570.3900000001</v>
      </c>
      <c r="E31" s="243"/>
      <c r="F31" s="255">
        <f>'DOE25'!J290+'DOE25'!J309+'DOE25'!J328+'DOE25'!J333+'DOE25'!J334+'DOE25'!J335</f>
        <v>67788.81</v>
      </c>
      <c r="G31" s="53">
        <f>'DOE25'!K290+'DOE25'!K309+'DOE25'!K328+'DOE25'!K333+'DOE25'!K334+'DOE25'!K335</f>
        <v>5171.72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40445343</v>
      </c>
      <c r="E33" s="246">
        <f>SUM(E5:E31)</f>
        <v>501523.65</v>
      </c>
      <c r="F33" s="246">
        <f>SUM(F5:F31)</f>
        <v>935514.28</v>
      </c>
      <c r="G33" s="246">
        <f>SUM(G5:G31)</f>
        <v>59138.240000000005</v>
      </c>
      <c r="H33" s="246">
        <f>SUM(H5:H31)</f>
        <v>3671837.05</v>
      </c>
    </row>
    <row r="35" spans="2:8" ht="12" thickBot="1" x14ac:dyDescent="0.25">
      <c r="B35" s="253" t="s">
        <v>847</v>
      </c>
      <c r="D35" s="254">
        <f>E33</f>
        <v>501523.65</v>
      </c>
      <c r="E35" s="249"/>
    </row>
    <row r="36" spans="2:8" ht="12" thickTop="1" x14ac:dyDescent="0.2">
      <c r="B36" t="s">
        <v>815</v>
      </c>
      <c r="D36" s="20">
        <f>D33</f>
        <v>40445343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Governor Wentworth Regional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2028164.14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350170.6</v>
      </c>
      <c r="G11" s="95">
        <f>'DOE25'!J12</f>
        <v>43941.57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455255.25</v>
      </c>
      <c r="D12" s="95">
        <f>'DOE25'!G13</f>
        <v>38646.519999999997</v>
      </c>
      <c r="E12" s="95">
        <f>'DOE25'!H13</f>
        <v>332224.23</v>
      </c>
      <c r="F12" s="95">
        <f>'DOE25'!I13</f>
        <v>0</v>
      </c>
      <c r="G12" s="95">
        <f>'DOE25'!J13</f>
        <v>1200622.79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3543.35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1653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2488625.7399999998</v>
      </c>
      <c r="D18" s="41">
        <f>SUM(D8:D17)</f>
        <v>38646.519999999997</v>
      </c>
      <c r="E18" s="41">
        <f>SUM(E8:E17)</f>
        <v>332224.23</v>
      </c>
      <c r="F18" s="41">
        <f>SUM(F8:F17)</f>
        <v>350170.6</v>
      </c>
      <c r="G18" s="41">
        <f>SUM(G8:G17)</f>
        <v>1244564.3600000001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115939.94</v>
      </c>
      <c r="D21" s="95">
        <f>'DOE25'!G22</f>
        <v>2754.26</v>
      </c>
      <c r="E21" s="95">
        <f>'DOE25'!H22</f>
        <v>268096.81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219295.78</v>
      </c>
      <c r="D27" s="95">
        <f>'DOE25'!G28</f>
        <v>13020.7</v>
      </c>
      <c r="E27" s="95">
        <f>'DOE25'!H28</f>
        <v>23855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4308.08</v>
      </c>
      <c r="D29" s="95">
        <f>'DOE25'!G30</f>
        <v>14833.96</v>
      </c>
      <c r="E29" s="95">
        <f>'DOE25'!H30</f>
        <v>40272.42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339543.8</v>
      </c>
      <c r="D31" s="41">
        <f>SUM(D21:D30)</f>
        <v>30608.92</v>
      </c>
      <c r="E31" s="41">
        <f>SUM(E21:E30)</f>
        <v>332224.23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1653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8037.6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350170.6</v>
      </c>
      <c r="G47" s="95">
        <f>'DOE25'!J48</f>
        <v>1244564.3600000001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33434.65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2053994.29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2149081.94</v>
      </c>
      <c r="D50" s="41">
        <f>SUM(D34:D49)</f>
        <v>8037.6</v>
      </c>
      <c r="E50" s="41">
        <f>SUM(E34:E49)</f>
        <v>0</v>
      </c>
      <c r="F50" s="41">
        <f>SUM(F34:F49)</f>
        <v>350170.6</v>
      </c>
      <c r="G50" s="41">
        <f>SUM(G34:G49)</f>
        <v>1244564.3600000001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2488625.7399999998</v>
      </c>
      <c r="D51" s="41">
        <f>D50+D31</f>
        <v>38646.519999999997</v>
      </c>
      <c r="E51" s="41">
        <f>E50+E31</f>
        <v>332224.23</v>
      </c>
      <c r="F51" s="41">
        <f>F50+F31</f>
        <v>350170.6</v>
      </c>
      <c r="G51" s="41">
        <f>G50+G31</f>
        <v>1244564.3600000001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25186530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604206.22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453.73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49318.64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445011.82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808760.85</v>
      </c>
      <c r="D61" s="95">
        <f>SUM('DOE25'!G98:G110)</f>
        <v>4320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1413420.7999999998</v>
      </c>
      <c r="D62" s="130">
        <f>SUM(D57:D61)</f>
        <v>449331.82</v>
      </c>
      <c r="E62" s="130">
        <f>SUM(E57:E61)</f>
        <v>0</v>
      </c>
      <c r="F62" s="130">
        <f>SUM(F57:F61)</f>
        <v>0</v>
      </c>
      <c r="G62" s="130">
        <f>SUM(G57:G61)</f>
        <v>49318.64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26599950.800000001</v>
      </c>
      <c r="D63" s="22">
        <f>D56+D62</f>
        <v>449331.82</v>
      </c>
      <c r="E63" s="22">
        <f>E56+E62</f>
        <v>0</v>
      </c>
      <c r="F63" s="22">
        <f>F56+F62</f>
        <v>0</v>
      </c>
      <c r="G63" s="22">
        <f>G56+G62</f>
        <v>49318.64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3998063.75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10865412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14863475.75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1712487.82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84960.9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249932.75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11482.83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2047381.47</v>
      </c>
      <c r="D78" s="130">
        <f>SUM(D72:D77)</f>
        <v>11482.83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16910857.219999999</v>
      </c>
      <c r="D81" s="130">
        <f>SUM(D79:D80)+D78+D70</f>
        <v>11482.83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463472.73</v>
      </c>
      <c r="E88" s="95">
        <f>SUM('DOE25'!H153:H161)</f>
        <v>1736530.92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463472.73</v>
      </c>
      <c r="E91" s="131">
        <f>SUM(E85:E90)</f>
        <v>1736530.92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765</v>
      </c>
      <c r="C104" s="86">
        <f>C63+C81+C91+C103</f>
        <v>43510808.019999996</v>
      </c>
      <c r="D104" s="86">
        <f>D63+D81+D91+D103</f>
        <v>924287.38</v>
      </c>
      <c r="E104" s="86">
        <f>E63+E81+E91+E103</f>
        <v>1736530.92</v>
      </c>
      <c r="F104" s="86">
        <f>F63+F81+F91+F103</f>
        <v>0</v>
      </c>
      <c r="G104" s="86">
        <f>G63+G81+G103</f>
        <v>109318.64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17619738.380000003</v>
      </c>
      <c r="D109" s="24" t="s">
        <v>289</v>
      </c>
      <c r="E109" s="95">
        <f>('DOE25'!L276)+('DOE25'!L295)+('DOE25'!L314)</f>
        <v>716394.2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6868200.5700000003</v>
      </c>
      <c r="D110" s="24" t="s">
        <v>289</v>
      </c>
      <c r="E110" s="95">
        <f>('DOE25'!L277)+('DOE25'!L296)+('DOE25'!L315)</f>
        <v>437608.66999999993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1199998.8</v>
      </c>
      <c r="D111" s="24" t="s">
        <v>289</v>
      </c>
      <c r="E111" s="95">
        <f>('DOE25'!L278)+('DOE25'!L297)+('DOE25'!L316)</f>
        <v>124532.21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630175.52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15628.75</v>
      </c>
      <c r="D114" s="24" t="s">
        <v>289</v>
      </c>
      <c r="E114" s="95">
        <f>+ SUM('DOE25'!L333:L335)</f>
        <v>210573.63999999998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26333742.020000003</v>
      </c>
      <c r="D115" s="86">
        <f>SUM(D109:D114)</f>
        <v>0</v>
      </c>
      <c r="E115" s="86">
        <f>SUM(E109:E114)</f>
        <v>1489108.7199999997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1854463.61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1396773.42</v>
      </c>
      <c r="D119" s="24" t="s">
        <v>289</v>
      </c>
      <c r="E119" s="95">
        <f>+('DOE25'!L282)+('DOE25'!L301)+('DOE25'!L320)</f>
        <v>236922.2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754763.04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2587550.69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479678.52999999997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3941015.23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2187562.6999999997</v>
      </c>
      <c r="D124" s="24" t="s">
        <v>289</v>
      </c>
      <c r="E124" s="95">
        <f>+('DOE25'!L287)+('DOE25'!L306)+('DOE25'!L325)</f>
        <v>10500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925570.39999999991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13201807.219999999</v>
      </c>
      <c r="D128" s="86">
        <f>SUM(D118:D127)</f>
        <v>925570.39999999991</v>
      </c>
      <c r="E128" s="86">
        <f>SUM(E118:E127)</f>
        <v>247422.2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150000</v>
      </c>
      <c r="D130" s="24" t="s">
        <v>289</v>
      </c>
      <c r="E130" s="129">
        <f>'DOE25'!L336</f>
        <v>0</v>
      </c>
      <c r="F130" s="129">
        <f>SUM('DOE25'!L374:'DOE25'!L380)</f>
        <v>168939.18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3127735.75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544101.30000000005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109318.64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-49318.64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3881837.05</v>
      </c>
      <c r="D144" s="141">
        <f>SUM(D130:D143)</f>
        <v>0</v>
      </c>
      <c r="E144" s="141">
        <f>SUM(E130:E143)</f>
        <v>0</v>
      </c>
      <c r="F144" s="141">
        <f>SUM(F130:F143)</f>
        <v>168939.18</v>
      </c>
      <c r="G144" s="141">
        <f>SUM(G130:G143)</f>
        <v>3000</v>
      </c>
    </row>
    <row r="145" spans="1:9" ht="12.75" thickTop="1" thickBot="1" x14ac:dyDescent="0.25">
      <c r="A145" s="33" t="s">
        <v>244</v>
      </c>
      <c r="C145" s="86">
        <f>(C115+C128+C144)</f>
        <v>43417386.289999999</v>
      </c>
      <c r="D145" s="86">
        <f>(D115+D128+D144)</f>
        <v>925570.39999999991</v>
      </c>
      <c r="E145" s="86">
        <f>(E115+E128+E144)</f>
        <v>1736530.9199999997</v>
      </c>
      <c r="F145" s="86">
        <f>(F115+F128+F144)</f>
        <v>168939.18</v>
      </c>
      <c r="G145" s="86">
        <f>(G115+G128+G144)</f>
        <v>3000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30</v>
      </c>
      <c r="D151" s="153">
        <f>'DOE25'!H490</f>
        <v>30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06/09</v>
      </c>
      <c r="C152" s="152" t="str">
        <f>'DOE25'!G491</f>
        <v>07/09</v>
      </c>
      <c r="D152" s="152" t="str">
        <f>'DOE25'!H491</f>
        <v>"07/10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06/14</v>
      </c>
      <c r="C153" s="152" t="str">
        <f>'DOE25'!G492</f>
        <v>07/39</v>
      </c>
      <c r="D153" s="152" t="str">
        <f>'DOE25'!H492</f>
        <v>"08/40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325000</v>
      </c>
      <c r="C154" s="137">
        <f>'DOE25'!G493</f>
        <v>25000000</v>
      </c>
      <c r="D154" s="137">
        <f>'DOE25'!H493</f>
        <v>325508500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3.61</v>
      </c>
      <c r="C155" s="137">
        <f>'DOE25'!G494</f>
        <v>4.3</v>
      </c>
      <c r="D155" s="137">
        <f>'DOE25'!H494</f>
        <v>4.46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65000</v>
      </c>
      <c r="C156" s="137">
        <f>'DOE25'!G495</f>
        <v>20594964.969999999</v>
      </c>
      <c r="D156" s="137">
        <f>'DOE25'!H495</f>
        <v>27787135.309999999</v>
      </c>
      <c r="E156" s="137">
        <f>'DOE25'!I495</f>
        <v>0</v>
      </c>
      <c r="F156" s="137">
        <f>'DOE25'!J495</f>
        <v>0</v>
      </c>
      <c r="G156" s="138">
        <f>SUM(B156:F156)</f>
        <v>48447100.280000001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</v>
      </c>
      <c r="C158" s="137">
        <f>'DOE25'!G497</f>
        <v>1262120.8</v>
      </c>
      <c r="D158" s="137">
        <f>'DOE25'!H497</f>
        <v>1800614.95</v>
      </c>
      <c r="E158" s="137">
        <f>'DOE25'!I497</f>
        <v>0</v>
      </c>
      <c r="F158" s="137">
        <f>'DOE25'!J497</f>
        <v>0</v>
      </c>
      <c r="G158" s="138">
        <f t="shared" si="0"/>
        <v>3127735.75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19332844.170000002</v>
      </c>
      <c r="D159" s="137">
        <f>'DOE25'!H498</f>
        <v>25986520.359999999</v>
      </c>
      <c r="E159" s="137">
        <f>'DOE25'!I498</f>
        <v>0</v>
      </c>
      <c r="F159" s="137">
        <f>'DOE25'!J498</f>
        <v>0</v>
      </c>
      <c r="G159" s="138">
        <f t="shared" si="0"/>
        <v>45319364.530000001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19592354.120000001</v>
      </c>
      <c r="D160" s="137">
        <f>'DOE25'!H499</f>
        <v>28725148.390000001</v>
      </c>
      <c r="E160" s="137">
        <f>'DOE25'!I499</f>
        <v>0</v>
      </c>
      <c r="F160" s="137">
        <f>'DOE25'!J499</f>
        <v>0</v>
      </c>
      <c r="G160" s="138">
        <f t="shared" si="0"/>
        <v>48317502.510000005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38925198.290000007</v>
      </c>
      <c r="D161" s="137">
        <f>'DOE25'!H500</f>
        <v>54711668.75</v>
      </c>
      <c r="E161" s="137">
        <f>'DOE25'!I500</f>
        <v>0</v>
      </c>
      <c r="F161" s="137">
        <f>'DOE25'!J500</f>
        <v>0</v>
      </c>
      <c r="G161" s="138">
        <f t="shared" si="0"/>
        <v>93636867.040000007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1208963.69</v>
      </c>
      <c r="D162" s="137">
        <f>'DOE25'!H501</f>
        <v>1714477.4</v>
      </c>
      <c r="E162" s="137">
        <f>'DOE25'!I501</f>
        <v>0</v>
      </c>
      <c r="F162" s="137">
        <f>'DOE25'!J501</f>
        <v>0</v>
      </c>
      <c r="G162" s="138">
        <f t="shared" si="0"/>
        <v>2923441.09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286937.06</v>
      </c>
      <c r="D163" s="137">
        <f>'DOE25'!H502</f>
        <v>390310.1</v>
      </c>
      <c r="E163" s="137">
        <f>'DOE25'!I502</f>
        <v>0</v>
      </c>
      <c r="F163" s="137">
        <f>'DOE25'!J502</f>
        <v>0</v>
      </c>
      <c r="G163" s="138">
        <f t="shared" si="0"/>
        <v>677247.15999999992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1495900.75</v>
      </c>
      <c r="D164" s="137">
        <f>'DOE25'!H503</f>
        <v>2104787.5</v>
      </c>
      <c r="E164" s="137">
        <f>'DOE25'!I503</f>
        <v>0</v>
      </c>
      <c r="F164" s="137">
        <f>'DOE25'!J503</f>
        <v>0</v>
      </c>
      <c r="G164" s="138">
        <f t="shared" si="0"/>
        <v>3600688.25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Governor Wentworth Regional 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17727</v>
      </c>
    </row>
    <row r="5" spans="1:4" x14ac:dyDescent="0.2">
      <c r="B5" t="s">
        <v>704</v>
      </c>
      <c r="C5" s="179">
        <f>IF('DOE25'!G665+'DOE25'!G670=0,0,ROUND('DOE25'!G672,0))</f>
        <v>18686</v>
      </c>
    </row>
    <row r="6" spans="1:4" x14ac:dyDescent="0.2">
      <c r="B6" t="s">
        <v>62</v>
      </c>
      <c r="C6" s="179">
        <f>IF('DOE25'!H665+'DOE25'!H670=0,0,ROUND('DOE25'!H672,0))</f>
        <v>16054</v>
      </c>
    </row>
    <row r="7" spans="1:4" x14ac:dyDescent="0.2">
      <c r="B7" t="s">
        <v>705</v>
      </c>
      <c r="C7" s="179">
        <f>IF('DOE25'!I665+'DOE25'!I670=0,0,ROUND('DOE25'!I672,0))</f>
        <v>17293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18336133</v>
      </c>
      <c r="D10" s="182">
        <f>ROUND((C10/$C$28)*100,1)</f>
        <v>43.4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7305809</v>
      </c>
      <c r="D11" s="182">
        <f>ROUND((C11/$C$28)*100,1)</f>
        <v>17.3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1324531</v>
      </c>
      <c r="D12" s="182">
        <f>ROUND((C12/$C$28)*100,1)</f>
        <v>3.1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630176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1854464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1633696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754763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2587551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479679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3941015</v>
      </c>
      <c r="D20" s="182">
        <f t="shared" si="0"/>
        <v>9.3000000000000007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2198063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226202</v>
      </c>
      <c r="D24" s="182">
        <f t="shared" si="0"/>
        <v>0.5</v>
      </c>
    </row>
    <row r="25" spans="1:4" x14ac:dyDescent="0.2">
      <c r="A25">
        <v>5120</v>
      </c>
      <c r="B25" t="s">
        <v>720</v>
      </c>
      <c r="C25" s="179">
        <f>ROUND('DOE25'!L261+'DOE25'!L342,0)</f>
        <v>544101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476238.18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42292421.18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318939</v>
      </c>
    </row>
    <row r="30" spans="1:4" x14ac:dyDescent="0.2">
      <c r="B30" s="187" t="s">
        <v>729</v>
      </c>
      <c r="C30" s="180">
        <f>SUM(C28:C29)</f>
        <v>42611360.18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3127736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25186530</v>
      </c>
      <c r="D35" s="182">
        <f t="shared" ref="D35:D40" si="1">ROUND((C35/$C$41)*100,1)</f>
        <v>55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1462739.4399999976</v>
      </c>
      <c r="D36" s="182">
        <f t="shared" si="1"/>
        <v>3.2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14863476</v>
      </c>
      <c r="D37" s="182">
        <f t="shared" si="1"/>
        <v>32.5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2058864</v>
      </c>
      <c r="D38" s="182">
        <f t="shared" si="1"/>
        <v>4.5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2200004</v>
      </c>
      <c r="D39" s="182">
        <f t="shared" si="1"/>
        <v>4.8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45771613.439999998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 xml:space="preserve">Governor Wentworth Regional 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2014-08-25T13:14:55Z</cp:lastPrinted>
  <dcterms:created xsi:type="dcterms:W3CDTF">1997-12-04T19:04:30Z</dcterms:created>
  <dcterms:modified xsi:type="dcterms:W3CDTF">2014-12-05T16:06:07Z</dcterms:modified>
</cp:coreProperties>
</file>