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0" i="1" l="1"/>
  <c r="F50" i="1" l="1"/>
  <c r="F49" i="1"/>
  <c r="D11" i="13"/>
  <c r="B21" i="12"/>
  <c r="B20" i="12"/>
  <c r="F198" i="1"/>
  <c r="F204" i="1"/>
  <c r="B19" i="12"/>
  <c r="B22" i="12"/>
  <c r="A22" i="12" s="1"/>
  <c r="C10" i="12"/>
  <c r="B10" i="12"/>
  <c r="H396" i="1"/>
  <c r="L396" i="1" s="1"/>
  <c r="F439" i="1"/>
  <c r="H429" i="1"/>
  <c r="H397" i="1"/>
  <c r="H398" i="1"/>
  <c r="H389" i="1"/>
  <c r="H439" i="1"/>
  <c r="G439" i="1"/>
  <c r="H526" i="1"/>
  <c r="I526" i="1"/>
  <c r="G526" i="1"/>
  <c r="F526" i="1"/>
  <c r="K521" i="1"/>
  <c r="J521" i="1"/>
  <c r="H521" i="1"/>
  <c r="H524" i="1" s="1"/>
  <c r="F521" i="1"/>
  <c r="F524" i="1"/>
  <c r="F498" i="1"/>
  <c r="B159" i="2"/>
  <c r="J591" i="1"/>
  <c r="I591" i="1"/>
  <c r="H582" i="1"/>
  <c r="G582" i="1"/>
  <c r="H469" i="1"/>
  <c r="I277" i="1"/>
  <c r="G473" i="1"/>
  <c r="F368" i="1"/>
  <c r="I358" i="1"/>
  <c r="G358" i="1"/>
  <c r="H159" i="1"/>
  <c r="H162" i="1" s="1"/>
  <c r="H110" i="1"/>
  <c r="H145" i="1"/>
  <c r="H48" i="1"/>
  <c r="H13" i="1"/>
  <c r="I362" i="1"/>
  <c r="G634" i="1" s="1"/>
  <c r="F57" i="1"/>
  <c r="G97" i="1"/>
  <c r="G48" i="1"/>
  <c r="G51" i="1"/>
  <c r="F469" i="1"/>
  <c r="F22" i="1"/>
  <c r="F29" i="1"/>
  <c r="F24" i="1"/>
  <c r="C23" i="2"/>
  <c r="C31" i="2" s="1"/>
  <c r="F9" i="1"/>
  <c r="C61" i="2"/>
  <c r="F60" i="1"/>
  <c r="H465" i="1"/>
  <c r="I203" i="1"/>
  <c r="K263" i="1"/>
  <c r="L263" i="1"/>
  <c r="C135" i="2"/>
  <c r="K261" i="1"/>
  <c r="J207" i="1"/>
  <c r="F14" i="13"/>
  <c r="I207" i="1"/>
  <c r="L207" i="1"/>
  <c r="H207" i="1"/>
  <c r="G207" i="1"/>
  <c r="F207" i="1"/>
  <c r="K205" i="1"/>
  <c r="G12" i="13" s="1"/>
  <c r="J205" i="1"/>
  <c r="I205" i="1"/>
  <c r="H205" i="1"/>
  <c r="G205" i="1"/>
  <c r="F205" i="1"/>
  <c r="K204" i="1"/>
  <c r="G8" i="13"/>
  <c r="J204" i="1"/>
  <c r="I204" i="1"/>
  <c r="H204" i="1"/>
  <c r="G204" i="1"/>
  <c r="J203" i="1"/>
  <c r="H203" i="1"/>
  <c r="F203" i="1"/>
  <c r="G203" i="1"/>
  <c r="H202" i="1"/>
  <c r="I202" i="1"/>
  <c r="G202" i="1"/>
  <c r="F202" i="1"/>
  <c r="K202" i="1"/>
  <c r="J202" i="1"/>
  <c r="F6" i="13"/>
  <c r="I198" i="1"/>
  <c r="I521" i="1" s="1"/>
  <c r="L234" i="1"/>
  <c r="H198" i="1"/>
  <c r="G198" i="1"/>
  <c r="G521" i="1" s="1"/>
  <c r="G524" i="1" s="1"/>
  <c r="G545" i="1" s="1"/>
  <c r="B18" i="12"/>
  <c r="J197" i="1"/>
  <c r="F5" i="13"/>
  <c r="I197" i="1"/>
  <c r="H233" i="1"/>
  <c r="H215" i="1"/>
  <c r="G575" i="1" s="1"/>
  <c r="H197" i="1"/>
  <c r="G197" i="1"/>
  <c r="L197" i="1"/>
  <c r="F197" i="1"/>
  <c r="C45" i="2"/>
  <c r="C37" i="10"/>
  <c r="F40" i="2"/>
  <c r="D39" i="2"/>
  <c r="G655" i="1"/>
  <c r="F48" i="2"/>
  <c r="E48" i="2"/>
  <c r="D48" i="2"/>
  <c r="C48" i="2"/>
  <c r="F47" i="2"/>
  <c r="E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 s="1"/>
  <c r="G38" i="2" s="1"/>
  <c r="C68" i="2"/>
  <c r="B2" i="13"/>
  <c r="F8" i="13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G5" i="13"/>
  <c r="L199" i="1"/>
  <c r="L200" i="1"/>
  <c r="L215" i="1"/>
  <c r="L216" i="1"/>
  <c r="L217" i="1"/>
  <c r="L218" i="1"/>
  <c r="L235" i="1"/>
  <c r="C111" i="2" s="1"/>
  <c r="L236" i="1"/>
  <c r="G6" i="13"/>
  <c r="L220" i="1"/>
  <c r="L238" i="1"/>
  <c r="C118" i="2" s="1"/>
  <c r="F7" i="13"/>
  <c r="G7" i="13"/>
  <c r="L221" i="1"/>
  <c r="L239" i="1"/>
  <c r="F12" i="13"/>
  <c r="L223" i="1"/>
  <c r="L241" i="1"/>
  <c r="G14" i="13"/>
  <c r="G33" i="13" s="1"/>
  <c r="L225" i="1"/>
  <c r="L243" i="1"/>
  <c r="F15" i="13"/>
  <c r="G15" i="13"/>
  <c r="L208" i="1"/>
  <c r="H591" i="1" s="1"/>
  <c r="L226" i="1"/>
  <c r="G662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G661" i="1" s="1"/>
  <c r="L360" i="1"/>
  <c r="L362" i="1" s="1"/>
  <c r="C27" i="10" s="1"/>
  <c r="I367" i="1"/>
  <c r="J290" i="1"/>
  <c r="J309" i="1"/>
  <c r="F31" i="13" s="1"/>
  <c r="J328" i="1"/>
  <c r="K290" i="1"/>
  <c r="K309" i="1"/>
  <c r="K328" i="1"/>
  <c r="K338" i="1" s="1"/>
  <c r="L276" i="1"/>
  <c r="E109" i="2" s="1"/>
  <c r="L277" i="1"/>
  <c r="E110" i="2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341" i="1"/>
  <c r="L342" i="1"/>
  <c r="E132" i="2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13" i="12"/>
  <c r="C9" i="12"/>
  <c r="C13" i="12"/>
  <c r="C22" i="12"/>
  <c r="B1" i="12"/>
  <c r="L387" i="1"/>
  <c r="L388" i="1"/>
  <c r="L389" i="1"/>
  <c r="L390" i="1"/>
  <c r="L391" i="1"/>
  <c r="L392" i="1"/>
  <c r="L395" i="1"/>
  <c r="L397" i="1"/>
  <c r="L398" i="1"/>
  <c r="L399" i="1"/>
  <c r="L400" i="1"/>
  <c r="L403" i="1"/>
  <c r="L404" i="1"/>
  <c r="L405" i="1"/>
  <c r="L406" i="1"/>
  <c r="L266" i="1"/>
  <c r="J60" i="1"/>
  <c r="G56" i="2" s="1"/>
  <c r="G61" i="2"/>
  <c r="F2" i="11"/>
  <c r="L613" i="1"/>
  <c r="L612" i="1"/>
  <c r="G663" i="1"/>
  <c r="L611" i="1"/>
  <c r="C40" i="10"/>
  <c r="G60" i="1"/>
  <c r="G112" i="1" s="1"/>
  <c r="H60" i="1"/>
  <c r="I60" i="1"/>
  <c r="F79" i="1"/>
  <c r="F94" i="1"/>
  <c r="C58" i="2" s="1"/>
  <c r="F111" i="1"/>
  <c r="G111" i="1"/>
  <c r="H79" i="1"/>
  <c r="H112" i="1" s="1"/>
  <c r="H94" i="1"/>
  <c r="H111" i="1"/>
  <c r="I111" i="1"/>
  <c r="I112" i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F162" i="1"/>
  <c r="F169" i="1"/>
  <c r="G147" i="1"/>
  <c r="G162" i="1"/>
  <c r="G169" i="1"/>
  <c r="H147" i="1"/>
  <c r="E85" i="2" s="1"/>
  <c r="I147" i="1"/>
  <c r="I162" i="1"/>
  <c r="L250" i="1"/>
  <c r="L332" i="1"/>
  <c r="L254" i="1"/>
  <c r="L268" i="1"/>
  <c r="L269" i="1"/>
  <c r="L349" i="1"/>
  <c r="L350" i="1"/>
  <c r="I665" i="1"/>
  <c r="I670" i="1"/>
  <c r="L229" i="1"/>
  <c r="G660" i="1" s="1"/>
  <c r="G664" i="1" s="1"/>
  <c r="G667" i="1" s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2" i="1"/>
  <c r="F550" i="1" s="1"/>
  <c r="L523" i="1"/>
  <c r="F551" i="1"/>
  <c r="L526" i="1"/>
  <c r="L527" i="1"/>
  <c r="G550" i="1"/>
  <c r="L528" i="1"/>
  <c r="G551" i="1" s="1"/>
  <c r="L531" i="1"/>
  <c r="H549" i="1" s="1"/>
  <c r="L534" i="1"/>
  <c r="L532" i="1"/>
  <c r="H550" i="1"/>
  <c r="L533" i="1"/>
  <c r="H551" i="1" s="1"/>
  <c r="L536" i="1"/>
  <c r="I549" i="1"/>
  <c r="L537" i="1"/>
  <c r="I550" i="1" s="1"/>
  <c r="L538" i="1"/>
  <c r="I551" i="1"/>
  <c r="L541" i="1"/>
  <c r="J549" i="1" s="1"/>
  <c r="L542" i="1"/>
  <c r="J550" i="1"/>
  <c r="J552" i="1" s="1"/>
  <c r="L543" i="1"/>
  <c r="J551" i="1" s="1"/>
  <c r="E131" i="2"/>
  <c r="J270" i="1"/>
  <c r="I270" i="1"/>
  <c r="H270" i="1"/>
  <c r="G270" i="1"/>
  <c r="F270" i="1"/>
  <c r="C131" i="2"/>
  <c r="A1" i="2"/>
  <c r="A2" i="2"/>
  <c r="C8" i="2"/>
  <c r="D8" i="2"/>
  <c r="D18" i="2" s="1"/>
  <c r="E8" i="2"/>
  <c r="F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/>
  <c r="G17" i="2"/>
  <c r="C21" i="2"/>
  <c r="D21" i="2"/>
  <c r="E21" i="2"/>
  <c r="F21" i="2"/>
  <c r="F31" i="2" s="1"/>
  <c r="I448" i="1"/>
  <c r="J22" i="1" s="1"/>
  <c r="C22" i="2"/>
  <c r="D22" i="2"/>
  <c r="E22" i="2"/>
  <c r="F22" i="2"/>
  <c r="I449" i="1"/>
  <c r="J23" i="1"/>
  <c r="G22" i="2" s="1"/>
  <c r="D23" i="2"/>
  <c r="E23" i="2"/>
  <c r="F23" i="2"/>
  <c r="I450" i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E50" i="2" s="1"/>
  <c r="E51" i="2" s="1"/>
  <c r="F34" i="2"/>
  <c r="C35" i="2"/>
  <c r="D35" i="2"/>
  <c r="E35" i="2"/>
  <c r="F35" i="2"/>
  <c r="I454" i="1"/>
  <c r="J49" i="1"/>
  <c r="G48" i="2"/>
  <c r="I456" i="1"/>
  <c r="J43" i="1" s="1"/>
  <c r="I457" i="1"/>
  <c r="J37" i="1"/>
  <c r="G36" i="2" s="1"/>
  <c r="I459" i="1"/>
  <c r="J48" i="1" s="1"/>
  <c r="G47" i="2" s="1"/>
  <c r="G50" i="2" s="1"/>
  <c r="D56" i="2"/>
  <c r="E56" i="2"/>
  <c r="F56" i="2"/>
  <c r="C57" i="2"/>
  <c r="E57" i="2"/>
  <c r="E62" i="2" s="1"/>
  <c r="E63" i="2" s="1"/>
  <c r="E58" i="2"/>
  <c r="C59" i="2"/>
  <c r="D59" i="2"/>
  <c r="E59" i="2"/>
  <c r="F59" i="2"/>
  <c r="D60" i="2"/>
  <c r="D62" i="2"/>
  <c r="D61" i="2"/>
  <c r="E61" i="2"/>
  <c r="F61" i="2"/>
  <c r="C66" i="2"/>
  <c r="C67" i="2"/>
  <c r="C69" i="2"/>
  <c r="D69" i="2"/>
  <c r="D70" i="2"/>
  <c r="E69" i="2"/>
  <c r="E70" i="2" s="1"/>
  <c r="F69" i="2"/>
  <c r="F70" i="2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F78" i="2" s="1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C91" i="2" s="1"/>
  <c r="D88" i="2"/>
  <c r="E88" i="2"/>
  <c r="F88" i="2"/>
  <c r="C89" i="2"/>
  <c r="D89" i="2"/>
  <c r="D91" i="2" s="1"/>
  <c r="E89" i="2"/>
  <c r="F89" i="2"/>
  <c r="C90" i="2"/>
  <c r="C93" i="2"/>
  <c r="F93" i="2"/>
  <c r="F103" i="2" s="1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2" i="2"/>
  <c r="C113" i="2"/>
  <c r="E114" i="2"/>
  <c r="D115" i="2"/>
  <c r="F115" i="2"/>
  <c r="G115" i="2"/>
  <c r="E118" i="2"/>
  <c r="E120" i="2"/>
  <c r="E122" i="2"/>
  <c r="E123" i="2"/>
  <c r="E124" i="2"/>
  <c r="C125" i="2"/>
  <c r="F128" i="2"/>
  <c r="G128" i="2"/>
  <c r="C130" i="2"/>
  <c r="E130" i="2"/>
  <c r="F130" i="2"/>
  <c r="F144" i="2" s="1"/>
  <c r="F145" i="2" s="1"/>
  <c r="D134" i="2"/>
  <c r="D144" i="2" s="1"/>
  <c r="E134" i="2"/>
  <c r="F134" i="2"/>
  <c r="K419" i="1"/>
  <c r="K427" i="1"/>
  <c r="K433" i="1"/>
  <c r="E135" i="2"/>
  <c r="L264" i="1"/>
  <c r="C136" i="2" s="1"/>
  <c r="L265" i="1"/>
  <c r="C137" i="2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G157" i="2" s="1"/>
  <c r="C157" i="2"/>
  <c r="D157" i="2"/>
  <c r="E157" i="2"/>
  <c r="F157" i="2"/>
  <c r="B158" i="2"/>
  <c r="G158" i="2" s="1"/>
  <c r="C158" i="2"/>
  <c r="D158" i="2"/>
  <c r="E158" i="2"/>
  <c r="F158" i="2"/>
  <c r="C159" i="2"/>
  <c r="D159" i="2"/>
  <c r="G159" i="2" s="1"/>
  <c r="E159" i="2"/>
  <c r="F159" i="2"/>
  <c r="B160" i="2"/>
  <c r="C160" i="2"/>
  <c r="D160" i="2"/>
  <c r="E160" i="2"/>
  <c r="F160" i="2"/>
  <c r="G160" i="2" s="1"/>
  <c r="F500" i="1"/>
  <c r="K500" i="1" s="1"/>
  <c r="G500" i="1"/>
  <c r="C161" i="2"/>
  <c r="H500" i="1"/>
  <c r="D161" i="2" s="1"/>
  <c r="I500" i="1"/>
  <c r="E161" i="2"/>
  <c r="J500" i="1"/>
  <c r="F161" i="2" s="1"/>
  <c r="B162" i="2"/>
  <c r="C162" i="2"/>
  <c r="G162" i="2" s="1"/>
  <c r="D162" i="2"/>
  <c r="E162" i="2"/>
  <c r="F162" i="2"/>
  <c r="B163" i="2"/>
  <c r="G163" i="2" s="1"/>
  <c r="C163" i="2"/>
  <c r="D163" i="2"/>
  <c r="E163" i="2"/>
  <c r="F163" i="2"/>
  <c r="F503" i="1"/>
  <c r="B164" i="2" s="1"/>
  <c r="G503" i="1"/>
  <c r="C164" i="2" s="1"/>
  <c r="H503" i="1"/>
  <c r="D164" i="2"/>
  <c r="I503" i="1"/>
  <c r="E164" i="2" s="1"/>
  <c r="J503" i="1"/>
  <c r="F164" i="2"/>
  <c r="F19" i="1"/>
  <c r="G617" i="1" s="1"/>
  <c r="G19" i="1"/>
  <c r="G618" i="1" s="1"/>
  <c r="I19" i="1"/>
  <c r="G620" i="1" s="1"/>
  <c r="F32" i="1"/>
  <c r="G32" i="1"/>
  <c r="H32" i="1"/>
  <c r="I32" i="1"/>
  <c r="I52" i="1" s="1"/>
  <c r="H51" i="1"/>
  <c r="I51" i="1"/>
  <c r="H620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H192" i="1" s="1"/>
  <c r="I188" i="1"/>
  <c r="F229" i="1"/>
  <c r="G229" i="1"/>
  <c r="H229" i="1"/>
  <c r="I229" i="1"/>
  <c r="J229" i="1"/>
  <c r="K229" i="1"/>
  <c r="F247" i="1"/>
  <c r="G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52" i="1"/>
  <c r="F362" i="1"/>
  <c r="G362" i="1"/>
  <c r="H362" i="1"/>
  <c r="J362" i="1"/>
  <c r="K362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J434" i="1" s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H446" i="1"/>
  <c r="G641" i="1" s="1"/>
  <c r="F452" i="1"/>
  <c r="G452" i="1"/>
  <c r="G461" i="1" s="1"/>
  <c r="H640" i="1" s="1"/>
  <c r="H452" i="1"/>
  <c r="H461" i="1" s="1"/>
  <c r="H641" i="1" s="1"/>
  <c r="F460" i="1"/>
  <c r="F461" i="1"/>
  <c r="H639" i="1" s="1"/>
  <c r="G460" i="1"/>
  <c r="H460" i="1"/>
  <c r="I470" i="1"/>
  <c r="I474" i="1"/>
  <c r="K495" i="1"/>
  <c r="K496" i="1"/>
  <c r="K497" i="1"/>
  <c r="K499" i="1"/>
  <c r="K501" i="1"/>
  <c r="K502" i="1"/>
  <c r="F517" i="1"/>
  <c r="G517" i="1"/>
  <c r="H517" i="1"/>
  <c r="I517" i="1"/>
  <c r="I524" i="1"/>
  <c r="J524" i="1"/>
  <c r="K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60" i="1" s="1"/>
  <c r="L571" i="1" s="1"/>
  <c r="L559" i="1"/>
  <c r="F560" i="1"/>
  <c r="G560" i="1"/>
  <c r="H560" i="1"/>
  <c r="I560" i="1"/>
  <c r="I571" i="1" s="1"/>
  <c r="J560" i="1"/>
  <c r="K560" i="1"/>
  <c r="L562" i="1"/>
  <c r="L563" i="1"/>
  <c r="L564" i="1"/>
  <c r="F565" i="1"/>
  <c r="G565" i="1"/>
  <c r="G571" i="1" s="1"/>
  <c r="H565" i="1"/>
  <c r="I565" i="1"/>
  <c r="J565" i="1"/>
  <c r="K565" i="1"/>
  <c r="L567" i="1"/>
  <c r="L568" i="1"/>
  <c r="L569" i="1"/>
  <c r="F570" i="1"/>
  <c r="G570" i="1"/>
  <c r="H570" i="1"/>
  <c r="I570" i="1"/>
  <c r="J570" i="1"/>
  <c r="J571" i="1" s="1"/>
  <c r="K570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2" i="1"/>
  <c r="K593" i="1"/>
  <c r="K594" i="1"/>
  <c r="K595" i="1"/>
  <c r="K596" i="1"/>
  <c r="K597" i="1"/>
  <c r="I598" i="1"/>
  <c r="H650" i="1" s="1"/>
  <c r="J598" i="1"/>
  <c r="H651" i="1" s="1"/>
  <c r="J651" i="1" s="1"/>
  <c r="K602" i="1"/>
  <c r="K603" i="1"/>
  <c r="I605" i="1"/>
  <c r="J605" i="1"/>
  <c r="F614" i="1"/>
  <c r="G614" i="1"/>
  <c r="H614" i="1"/>
  <c r="I614" i="1"/>
  <c r="J614" i="1"/>
  <c r="K614" i="1"/>
  <c r="L614" i="1"/>
  <c r="G625" i="1"/>
  <c r="H630" i="1"/>
  <c r="H636" i="1"/>
  <c r="G643" i="1"/>
  <c r="J643" i="1" s="1"/>
  <c r="H643" i="1"/>
  <c r="H645" i="1"/>
  <c r="G651" i="1"/>
  <c r="G652" i="1"/>
  <c r="H652" i="1"/>
  <c r="J652" i="1"/>
  <c r="G653" i="1"/>
  <c r="H653" i="1"/>
  <c r="J653" i="1" s="1"/>
  <c r="G654" i="1"/>
  <c r="H654" i="1"/>
  <c r="H655" i="1"/>
  <c r="F192" i="1"/>
  <c r="L256" i="1"/>
  <c r="C18" i="2"/>
  <c r="L328" i="1"/>
  <c r="A31" i="12"/>
  <c r="A40" i="12"/>
  <c r="D18" i="13"/>
  <c r="C18" i="13" s="1"/>
  <c r="D17" i="13"/>
  <c r="C17" i="13" s="1"/>
  <c r="F81" i="2"/>
  <c r="D31" i="2"/>
  <c r="C78" i="2"/>
  <c r="F18" i="2"/>
  <c r="E103" i="2"/>
  <c r="E31" i="2"/>
  <c r="D19" i="13"/>
  <c r="C19" i="13" s="1"/>
  <c r="E13" i="13"/>
  <c r="C13" i="13" s="1"/>
  <c r="E78" i="2"/>
  <c r="E81" i="2" s="1"/>
  <c r="K571" i="1"/>
  <c r="L419" i="1"/>
  <c r="I169" i="1"/>
  <c r="I476" i="1"/>
  <c r="H625" i="1" s="1"/>
  <c r="G338" i="1"/>
  <c r="G352" i="1"/>
  <c r="J140" i="1"/>
  <c r="I552" i="1"/>
  <c r="K545" i="1"/>
  <c r="C29" i="10"/>
  <c r="F22" i="13"/>
  <c r="C22" i="13" s="1"/>
  <c r="H571" i="1"/>
  <c r="H338" i="1"/>
  <c r="H352" i="1"/>
  <c r="F338" i="1"/>
  <c r="F352" i="1" s="1"/>
  <c r="L309" i="1"/>
  <c r="E16" i="13"/>
  <c r="C16" i="13" s="1"/>
  <c r="J655" i="1"/>
  <c r="L570" i="1"/>
  <c r="L565" i="1"/>
  <c r="L337" i="1"/>
  <c r="F62" i="2"/>
  <c r="F63" i="2" s="1"/>
  <c r="F104" i="2" s="1"/>
  <c r="G103" i="2"/>
  <c r="C103" i="2"/>
  <c r="F91" i="2"/>
  <c r="F50" i="2"/>
  <c r="C24" i="10"/>
  <c r="G31" i="13"/>
  <c r="L407" i="1"/>
  <c r="C140" i="2" s="1"/>
  <c r="I192" i="1"/>
  <c r="J654" i="1"/>
  <c r="G21" i="2"/>
  <c r="F434" i="1"/>
  <c r="K434" i="1"/>
  <c r="G134" i="2" s="1"/>
  <c r="G144" i="2" s="1"/>
  <c r="G145" i="2" s="1"/>
  <c r="C6" i="10"/>
  <c r="G140" i="1"/>
  <c r="G193" i="1" s="1"/>
  <c r="F140" i="1"/>
  <c r="C38" i="10" s="1"/>
  <c r="C5" i="10"/>
  <c r="G42" i="2"/>
  <c r="G16" i="2"/>
  <c r="H434" i="1"/>
  <c r="J620" i="1"/>
  <c r="D103" i="2"/>
  <c r="I140" i="1"/>
  <c r="I193" i="1"/>
  <c r="G630" i="1"/>
  <c r="J630" i="1" s="1"/>
  <c r="I434" i="1"/>
  <c r="G434" i="1"/>
  <c r="G649" i="1"/>
  <c r="J649" i="1" s="1"/>
  <c r="C21" i="10"/>
  <c r="C20" i="10"/>
  <c r="C123" i="2"/>
  <c r="D14" i="13"/>
  <c r="C14" i="13" s="1"/>
  <c r="K211" i="1"/>
  <c r="K257" i="1"/>
  <c r="L205" i="1"/>
  <c r="D12" i="13"/>
  <c r="C12" i="13"/>
  <c r="C121" i="2"/>
  <c r="L204" i="1"/>
  <c r="C17" i="10"/>
  <c r="L203" i="1"/>
  <c r="C119" i="2" s="1"/>
  <c r="H211" i="1"/>
  <c r="I211" i="1"/>
  <c r="I257" i="1"/>
  <c r="I271" i="1" s="1"/>
  <c r="L202" i="1"/>
  <c r="L198" i="1"/>
  <c r="C110" i="2" s="1"/>
  <c r="H247" i="1"/>
  <c r="H257" i="1"/>
  <c r="H271" i="1" s="1"/>
  <c r="G211" i="1"/>
  <c r="G257" i="1" s="1"/>
  <c r="G271" i="1" s="1"/>
  <c r="C18" i="12"/>
  <c r="F211" i="1"/>
  <c r="F257" i="1" s="1"/>
  <c r="F271" i="1" s="1"/>
  <c r="J211" i="1"/>
  <c r="J257" i="1" s="1"/>
  <c r="B9" i="12"/>
  <c r="A13" i="12" s="1"/>
  <c r="C18" i="10"/>
  <c r="D6" i="13"/>
  <c r="C6" i="13" s="1"/>
  <c r="C62" i="2"/>
  <c r="C35" i="10"/>
  <c r="G52" i="1"/>
  <c r="H618" i="1" s="1"/>
  <c r="J618" i="1" s="1"/>
  <c r="G623" i="1"/>
  <c r="D47" i="2"/>
  <c r="D50" i="2" s="1"/>
  <c r="D51" i="2" s="1"/>
  <c r="H169" i="1"/>
  <c r="C39" i="10"/>
  <c r="E91" i="2"/>
  <c r="H52" i="1"/>
  <c r="H619" i="1" s="1"/>
  <c r="G624" i="1"/>
  <c r="D29" i="13"/>
  <c r="C29" i="13" s="1"/>
  <c r="D127" i="2"/>
  <c r="D128" i="2" s="1"/>
  <c r="D145" i="2" s="1"/>
  <c r="H193" i="1"/>
  <c r="H468" i="1" s="1"/>
  <c r="H470" i="1" s="1"/>
  <c r="F661" i="1"/>
  <c r="I661" i="1" s="1"/>
  <c r="H661" i="1"/>
  <c r="G472" i="1"/>
  <c r="G474" i="1" s="1"/>
  <c r="H635" i="1"/>
  <c r="G635" i="1"/>
  <c r="J635" i="1" s="1"/>
  <c r="F33" i="13"/>
  <c r="J338" i="1"/>
  <c r="J352" i="1"/>
  <c r="H647" i="1"/>
  <c r="G650" i="1"/>
  <c r="J650" i="1" s="1"/>
  <c r="C124" i="2"/>
  <c r="D15" i="13"/>
  <c r="C15" i="13" s="1"/>
  <c r="H598" i="1"/>
  <c r="H649" i="1" s="1"/>
  <c r="K591" i="1"/>
  <c r="K598" i="1"/>
  <c r="G647" i="1" s="1"/>
  <c r="J647" i="1" s="1"/>
  <c r="F662" i="1"/>
  <c r="I662" i="1" s="1"/>
  <c r="H545" i="1"/>
  <c r="K498" i="1"/>
  <c r="K503" i="1"/>
  <c r="B161" i="2"/>
  <c r="G161" i="2"/>
  <c r="L401" i="1"/>
  <c r="C139" i="2"/>
  <c r="J641" i="1"/>
  <c r="I460" i="1"/>
  <c r="E8" i="13"/>
  <c r="C8" i="13" s="1"/>
  <c r="C120" i="2"/>
  <c r="L211" i="1"/>
  <c r="K551" i="1" l="1"/>
  <c r="C81" i="2"/>
  <c r="C70" i="2"/>
  <c r="F112" i="1"/>
  <c r="F193" i="1" s="1"/>
  <c r="F468" i="1" s="1"/>
  <c r="F470" i="1" s="1"/>
  <c r="E33" i="13"/>
  <c r="D35" i="13" s="1"/>
  <c r="H604" i="1"/>
  <c r="H648" i="1"/>
  <c r="J271" i="1"/>
  <c r="G628" i="1"/>
  <c r="G468" i="1"/>
  <c r="E104" i="2"/>
  <c r="H629" i="1"/>
  <c r="E113" i="2"/>
  <c r="C23" i="10"/>
  <c r="C11" i="10"/>
  <c r="G672" i="1"/>
  <c r="L290" i="1"/>
  <c r="F660" i="1" s="1"/>
  <c r="C16" i="10"/>
  <c r="C56" i="2"/>
  <c r="C63" i="2" s="1"/>
  <c r="C15" i="10"/>
  <c r="K550" i="1"/>
  <c r="G645" i="1"/>
  <c r="J645" i="1" s="1"/>
  <c r="J625" i="1"/>
  <c r="F571" i="1"/>
  <c r="J545" i="1"/>
  <c r="G81" i="2"/>
  <c r="J24" i="1"/>
  <c r="I452" i="1"/>
  <c r="I461" i="1" s="1"/>
  <c r="H642" i="1" s="1"/>
  <c r="L270" i="1"/>
  <c r="F545" i="1"/>
  <c r="H552" i="1"/>
  <c r="F51" i="1"/>
  <c r="C49" i="2"/>
  <c r="C50" i="2" s="1"/>
  <c r="C51" i="2" s="1"/>
  <c r="J51" i="1"/>
  <c r="L521" i="1"/>
  <c r="F51" i="2"/>
  <c r="L351" i="1"/>
  <c r="I338" i="1"/>
  <c r="I352" i="1" s="1"/>
  <c r="C12" i="10"/>
  <c r="H663" i="1"/>
  <c r="L393" i="1"/>
  <c r="C13" i="10"/>
  <c r="E112" i="2"/>
  <c r="E115" i="2" s="1"/>
  <c r="E125" i="2"/>
  <c r="E121" i="2"/>
  <c r="L261" i="1"/>
  <c r="K270" i="1"/>
  <c r="K271" i="1" s="1"/>
  <c r="I368" i="1"/>
  <c r="I369" i="1" s="1"/>
  <c r="H634" i="1" s="1"/>
  <c r="J634" i="1" s="1"/>
  <c r="F369" i="1"/>
  <c r="I439" i="1"/>
  <c r="G446" i="1"/>
  <c r="G640" i="1" s="1"/>
  <c r="J640" i="1" s="1"/>
  <c r="G549" i="1"/>
  <c r="G552" i="1" s="1"/>
  <c r="L529" i="1"/>
  <c r="C26" i="10"/>
  <c r="E142" i="2"/>
  <c r="E144" i="2" s="1"/>
  <c r="G629" i="1"/>
  <c r="D7" i="13"/>
  <c r="C7" i="13" s="1"/>
  <c r="L434" i="1"/>
  <c r="G164" i="2"/>
  <c r="E128" i="2"/>
  <c r="D63" i="2"/>
  <c r="D104" i="2" s="1"/>
  <c r="L382" i="1"/>
  <c r="G636" i="1" s="1"/>
  <c r="J636" i="1" s="1"/>
  <c r="C19" i="10"/>
  <c r="C122" i="2"/>
  <c r="C128" i="2" s="1"/>
  <c r="H575" i="1"/>
  <c r="I575" i="1" s="1"/>
  <c r="L233" i="1"/>
  <c r="D5" i="13" s="1"/>
  <c r="E12" i="2"/>
  <c r="E18" i="2" s="1"/>
  <c r="H19" i="1"/>
  <c r="G619" i="1" s="1"/>
  <c r="C104" i="2" l="1"/>
  <c r="H627" i="1"/>
  <c r="G627" i="1"/>
  <c r="J627" i="1" s="1"/>
  <c r="C5" i="13"/>
  <c r="F664" i="1"/>
  <c r="E145" i="2"/>
  <c r="F663" i="1"/>
  <c r="I663" i="1" s="1"/>
  <c r="H605" i="1"/>
  <c r="K604" i="1"/>
  <c r="K605" i="1" s="1"/>
  <c r="G648" i="1" s="1"/>
  <c r="J648" i="1" s="1"/>
  <c r="F549" i="1"/>
  <c r="L524" i="1"/>
  <c r="L545" i="1" s="1"/>
  <c r="F52" i="1"/>
  <c r="H617" i="1" s="1"/>
  <c r="J617" i="1" s="1"/>
  <c r="G622" i="1"/>
  <c r="L247" i="1"/>
  <c r="C109" i="2"/>
  <c r="C115" i="2" s="1"/>
  <c r="C10" i="10"/>
  <c r="J472" i="1"/>
  <c r="G638" i="1"/>
  <c r="I446" i="1"/>
  <c r="G642" i="1" s="1"/>
  <c r="J642" i="1" s="1"/>
  <c r="J9" i="1"/>
  <c r="C132" i="2"/>
  <c r="C144" i="2" s="1"/>
  <c r="H25" i="13"/>
  <c r="C25" i="10"/>
  <c r="C138" i="2"/>
  <c r="C141" i="2" s="1"/>
  <c r="L408" i="1"/>
  <c r="G23" i="2"/>
  <c r="G31" i="2" s="1"/>
  <c r="G51" i="2" s="1"/>
  <c r="J32" i="1"/>
  <c r="H472" i="1"/>
  <c r="L338" i="1"/>
  <c r="L352" i="1" s="1"/>
  <c r="G633" i="1" s="1"/>
  <c r="D31" i="13"/>
  <c r="C31" i="13" s="1"/>
  <c r="G470" i="1"/>
  <c r="G476" i="1" s="1"/>
  <c r="H623" i="1" s="1"/>
  <c r="J623" i="1" s="1"/>
  <c r="H628" i="1"/>
  <c r="J628" i="1" s="1"/>
  <c r="J619" i="1"/>
  <c r="J629" i="1"/>
  <c r="G626" i="1"/>
  <c r="J52" i="1"/>
  <c r="H621" i="1" s="1"/>
  <c r="J633" i="1" l="1"/>
  <c r="H660" i="1"/>
  <c r="L257" i="1"/>
  <c r="L271" i="1" s="1"/>
  <c r="C25" i="13"/>
  <c r="H33" i="13"/>
  <c r="J96" i="1"/>
  <c r="H646" i="1"/>
  <c r="G637" i="1"/>
  <c r="J468" i="1"/>
  <c r="J474" i="1"/>
  <c r="H638" i="1"/>
  <c r="J638" i="1" s="1"/>
  <c r="G8" i="2"/>
  <c r="G18" i="2" s="1"/>
  <c r="J19" i="1"/>
  <c r="G621" i="1" s="1"/>
  <c r="C28" i="10"/>
  <c r="D10" i="10" s="1"/>
  <c r="F552" i="1"/>
  <c r="K549" i="1"/>
  <c r="K552" i="1" s="1"/>
  <c r="F672" i="1"/>
  <c r="C4" i="10" s="1"/>
  <c r="F667" i="1"/>
  <c r="H474" i="1"/>
  <c r="H476" i="1" s="1"/>
  <c r="H624" i="1" s="1"/>
  <c r="J624" i="1" s="1"/>
  <c r="H633" i="1"/>
  <c r="C145" i="2"/>
  <c r="D33" i="13"/>
  <c r="D36" i="13" s="1"/>
  <c r="D25" i="10" l="1"/>
  <c r="D21" i="10"/>
  <c r="D24" i="10"/>
  <c r="C30" i="10"/>
  <c r="D22" i="10"/>
  <c r="D20" i="10"/>
  <c r="D17" i="10"/>
  <c r="D18" i="10"/>
  <c r="D27" i="10"/>
  <c r="D12" i="10"/>
  <c r="D26" i="10"/>
  <c r="D19" i="10"/>
  <c r="D16" i="10"/>
  <c r="D15" i="10"/>
  <c r="D23" i="10"/>
  <c r="D11" i="10"/>
  <c r="D28" i="10" s="1"/>
  <c r="D13" i="10"/>
  <c r="J111" i="1"/>
  <c r="J112" i="1" s="1"/>
  <c r="G59" i="2"/>
  <c r="G62" i="2" s="1"/>
  <c r="G63" i="2" s="1"/>
  <c r="G104" i="2" s="1"/>
  <c r="G644" i="1"/>
  <c r="J644" i="1" s="1"/>
  <c r="F472" i="1"/>
  <c r="G632" i="1"/>
  <c r="J621" i="1"/>
  <c r="H637" i="1"/>
  <c r="J637" i="1" s="1"/>
  <c r="J470" i="1"/>
  <c r="J476" i="1" s="1"/>
  <c r="H626" i="1" s="1"/>
  <c r="J626" i="1" s="1"/>
  <c r="H631" i="1"/>
  <c r="H664" i="1"/>
  <c r="I660" i="1"/>
  <c r="I664" i="1" s="1"/>
  <c r="H632" i="1" l="1"/>
  <c r="F474" i="1"/>
  <c r="F476" i="1" s="1"/>
  <c r="H622" i="1" s="1"/>
  <c r="J622" i="1" s="1"/>
  <c r="J632" i="1"/>
  <c r="J193" i="1"/>
  <c r="C36" i="10"/>
  <c r="H667" i="1"/>
  <c r="H672" i="1"/>
  <c r="I672" i="1"/>
  <c r="C7" i="10" s="1"/>
  <c r="I667" i="1"/>
  <c r="G631" i="1" l="1"/>
  <c r="G646" i="1"/>
  <c r="J646" i="1" s="1"/>
  <c r="C41" i="10"/>
  <c r="D36" i="10" s="1"/>
  <c r="D37" i="10" l="1"/>
  <c r="D40" i="10"/>
  <c r="D39" i="10"/>
  <c r="D38" i="10"/>
  <c r="D35" i="10"/>
  <c r="J631" i="1"/>
  <c r="H65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<sst xmlns="http://schemas.openxmlformats.org/spreadsheetml/2006/main" count="3957" uniqueCount="915">
  <si>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</si>
  <si>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</si>
  <si>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</si>
  <si>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</si>
  <si>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</si>
  <si>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</si>
  <si>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</si>
  <si>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</si>
  <si>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</si>
  <si>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</si>
  <si>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</si>
  <si>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</si>
  <si>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</si>
  <si>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</si>
  <si>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</si>
  <si>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</si>
  <si>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</si>
  <si>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</si>
  <si>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</si>
  <si>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</si>
  <si>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</si>
  <si>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</si>
  <si>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</si>
  <si>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</si>
  <si>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</si>
  <si>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</si>
  <si>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</si>
  <si>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</si>
  <si>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</si>
  <si>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</si>
  <si>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</si>
  <si>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</si>
  <si>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</si>
  <si>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</si>
  <si>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</si>
  <si>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</si>
  <si>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</si>
  <si>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</si>
  <si>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</si>
  <si>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</si>
  <si>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</si>
  <si>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</si>
  <si>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</si>
  <si>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</si>
  <si>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</si>
  <si>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</si>
  <si>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</si>
  <si>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</si>
  <si>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</si>
  <si>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</si>
  <si>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</si>
  <si>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</si>
  <si>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</si>
  <si>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</si>
  <si>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</si>
  <si>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</si>
  <si>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</si>
  <si>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</si>
  <si>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</si>
  <si>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</si>
  <si>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</si>
  <si>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</si>
  <si>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</si>
  <si>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</si>
  <si>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</si>
  <si>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</si>
  <si>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</si>
  <si>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</si>
  <si>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</si>
  <si>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</si>
  <si>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</si>
  <si>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</si>
  <si>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</si>
  <si>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</si>
  <si>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</si>
  <si>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</si>
  <si>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</si>
  <si>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</si>
  <si>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</si>
  <si>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</si>
  <si>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</si>
  <si>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</si>
  <si>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</si>
  <si>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</si>
  <si>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</si>
  <si>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</si>
  <si>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</si>
  <si>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</si>
  <si>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</si>
  <si>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</si>
  <si>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</si>
  <si>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</si>
  <si>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</si>
  <si>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</si>
  <si>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</si>
  <si>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</si>
  <si>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</si>
  <si>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</si>
  <si>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</si>
  <si>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</si>
  <si>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</si>
  <si>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</si>
  <si>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</si>
  <si>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</si>
  <si>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</si>
  <si>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</si>
  <si>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</si>
  <si>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</si>
  <si>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</si>
  <si>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</si>
  <si>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</si>
  <si>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</si>
  <si>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</si>
  <si>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</si>
  <si>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</si>
  <si>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</si>
  <si>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</si>
  <si>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</si>
  <si>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</si>
  <si>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</si>
  <si>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</si>
  <si>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</si>
  <si>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</si>
  <si>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</si>
  <si>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</si>
  <si>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</si>
  <si>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</si>
  <si>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</si>
  <si>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</si>
  <si>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</si>
  <si>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</si>
  <si>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</si>
  <si>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</si>
  <si>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</si>
  <si>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</si>
  <si>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</si>
  <si>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</si>
  <si>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</si>
  <si>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</si>
  <si>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</si>
  <si>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</si>
  <si>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</si>
  <si>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</si>
  <si>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</si>
  <si>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</si>
  <si>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</si>
  <si>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</si>
  <si>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</si>
  <si>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</si>
  <si>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</si>
  <si>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</si>
  <si>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</si>
  <si>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</si>
  <si>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</si>
  <si>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</si>
  <si>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</si>
  <si>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</si>
  <si>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</si>
  <si>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</si>
  <si>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</si>
  <si>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</si>
  <si>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</si>
  <si>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</si>
  <si>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</si>
  <si>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</si>
  <si>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</si>
  <si>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</si>
  <si>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</si>
  <si>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</si>
  <si>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</si>
  <si>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</si>
  <si>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</si>
  <si>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</si>
  <si>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</si>
  <si>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</si>
  <si>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</si>
  <si>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</si>
  <si>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</si>
  <si>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</si>
  <si>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</si>
  <si>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</si>
  <si>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</si>
  <si>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</si>
  <si>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</si>
  <si>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</si>
  <si>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</si>
  <si>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</si>
  <si>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</si>
  <si>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</si>
  <si>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</si>
  <si>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</si>
  <si>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</si>
  <si>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</si>
  <si>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</si>
  <si>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</si>
  <si>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</si>
  <si>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</si>
  <si>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</si>
  <si>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</si>
  <si>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</si>
  <si>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</si>
  <si>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</si>
  <si>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</si>
  <si>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</si>
  <si>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</si>
  <si>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</si>
  <si>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</si>
  <si>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</si>
  <si>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</si>
  <si>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</si>
  <si>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</si>
  <si>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</si>
  <si>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</si>
  <si>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</si>
  <si>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</si>
  <si>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</si>
  <si>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</si>
  <si>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</si>
  <si>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</si>
  <si>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</si>
  <si>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</si>
  <si>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</si>
  <si>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</si>
  <si>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</si>
  <si>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</si>
  <si>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</si>
  <si>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</si>
  <si>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</si>
  <si>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</si>
  <si>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</si>
  <si>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</si>
  <si>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</si>
  <si>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</si>
  <si>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</si>
  <si>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</si>
  <si>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</si>
  <si>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</si>
  <si>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</si>
  <si>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</si>
  <si>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</si>
  <si>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</si>
  <si>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</si>
  <si>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</si>
  <si>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</si>
  <si>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</si>
  <si>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</si>
  <si>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</si>
  <si>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</si>
  <si>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</si>
  <si>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</si>
  <si>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</si>
  <si>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</si>
  <si>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</si>
  <si>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</si>
  <si>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</si>
  <si>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</si>
  <si>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</si>
  <si>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</si>
  <si>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</si>
  <si>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</si>
  <si>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</si>
  <si>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</si>
  <si>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</si>
  <si>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</si>
  <si>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</si>
  <si>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</si>
  <si>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</si>
  <si>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</si>
  <si>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</si>
  <si>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</si>
  <si>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</si>
  <si>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</si>
  <si>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</si>
  <si>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</si>
  <si>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</si>
  <si>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</si>
  <si>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</si>
  <si>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</si>
  <si>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</si>
  <si>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</si>
  <si>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</si>
  <si>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</si>
  <si>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</si>
  <si>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</si>
  <si>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</si>
  <si>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</si>
  <si>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</si>
  <si>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</si>
  <si>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</si>
  <si>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</si>
  <si>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</si>
  <si>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</si>
  <si>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</si>
  <si>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</si>
  <si>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</si>
  <si>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</si>
  <si>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</si>
  <si>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</si>
  <si>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</si>
  <si>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</si>
  <si>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</si>
  <si>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</si>
  <si>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</si>
  <si>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</si>
  <si>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</si>
  <si>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</si>
  <si>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</si>
  <si>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</si>
  <si>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</si>
  <si>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</si>
  <si>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</si>
  <si>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</si>
  <si>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</si>
  <si>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</si>
  <si>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</si>
  <si>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</si>
  <si>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</si>
  <si>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</si>
  <si>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</si>
  <si>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</si>
  <si>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</si>
  <si>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</si>
  <si>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</si>
  <si>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</si>
  <si>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</si>
  <si>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</si>
  <si>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</si>
  <si>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</si>
  <si>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</si>
  <si>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</si>
  <si>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</si>
  <si>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</si>
  <si>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</si>
  <si>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</si>
  <si>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</si>
  <si>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</si>
  <si>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</si>
  <si>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</si>
  <si>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</si>
  <si>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</si>
  <si>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</si>
  <si>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</si>
  <si>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</si>
  <si>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</si>
  <si>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</si>
  <si>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</si>
  <si>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</si>
  <si>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</si>
  <si>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</si>
  <si>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</si>
  <si>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</si>
  <si>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</si>
  <si>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</si>
  <si>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</si>
  <si>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</si>
  <si>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</si>
  <si>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</si>
  <si>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</si>
  <si>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</si>
  <si>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</si>
  <si>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</si>
  <si>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</si>
  <si>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</si>
  <si>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</si>
  <si>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</si>
  <si>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</si>
  <si>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</si>
  <si>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</si>
  <si>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</si>
  <si>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</si>
  <si>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</si>
  <si>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</si>
  <si>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</si>
  <si>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</si>
  <si>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</si>
  <si>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</si>
  <si>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</si>
  <si>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</si>
  <si>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</si>
  <si>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</si>
  <si>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</si>
  <si>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</si>
  <si>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</si>
  <si>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</si>
  <si>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</si>
  <si>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</si>
  <si>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</si>
  <si>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</si>
  <si>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</si>
  <si>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</si>
  <si>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</si>
  <si>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</si>
  <si>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</si>
  <si>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</si>
  <si>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</si>
  <si>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</si>
  <si>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</si>
  <si>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</si>
  <si>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</si>
  <si>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</si>
  <si>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</si>
  <si>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</si>
  <si>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</si>
  <si>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</si>
  <si>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</si>
  <si>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</si>
  <si>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</si>
  <si>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</si>
  <si>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</si>
  <si>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</si>
  <si>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</si>
  <si>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</si>
  <si>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</si>
  <si>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</si>
  <si>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</si>
  <si>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</si>
  <si>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</si>
  <si>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</si>
  <si>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</si>
  <si>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</si>
  <si>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</si>
  <si>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</si>
  <si>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</si>
  <si>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</si>
  <si>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</si>
  <si>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</si>
  <si>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</si>
  <si>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</si>
  <si>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</si>
  <si>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</si>
  <si>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</si>
  <si>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</si>
  <si>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</si>
  <si>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</si>
  <si>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</si>
  <si>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</si>
  <si>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</si>
  <si>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</si>
  <si>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</si>
  <si>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</si>
  <si>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</si>
  <si>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</si>
  <si>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</si>
  <si>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</si>
  <si>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</si>
  <si>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</si>
  <si>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</si>
  <si>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</si>
  <si>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</si>
  <si>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</si>
  <si>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</si>
  <si>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</si>
  <si>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</si>
  <si>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</si>
  <si>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</si>
  <si>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</si>
  <si>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</si>
  <si>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</si>
  <si>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</si>
  <si>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</si>
  <si>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</si>
  <si>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</si>
  <si>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</si>
  <si>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</si>
  <si>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</si>
  <si>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</si>
  <si>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</si>
  <si>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</si>
  <si>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</si>
  <si>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</si>
  <si>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</si>
  <si>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</si>
  <si>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</si>
  <si>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</si>
  <si>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</si>
  <si>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</si>
  <si>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</si>
  <si>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</si>
  <si>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</si>
  <si>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</si>
  <si>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</si>
  <si>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</si>
  <si>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</si>
  <si>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</si>
  <si>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</si>
  <si>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</si>
  <si>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</si>
  <si>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</si>
  <si>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</si>
  <si>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</si>
  <si>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</si>
  <si>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</si>
  <si>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</si>
  <si>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</si>
  <si>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</si>
  <si>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</si>
  <si>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</si>
  <si>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</si>
  <si>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</si>
  <si>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</si>
  <si>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</si>
  <si>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</si>
  <si>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</si>
  <si>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</si>
  <si>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</si>
  <si>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</si>
  <si>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</si>
  <si>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</si>
  <si>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</si>
  <si>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</si>
  <si>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</si>
  <si>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</si>
  <si>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</si>
  <si>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</si>
  <si>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</si>
  <si>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</si>
  <si>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</si>
  <si>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</si>
  <si>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</si>
  <si>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</si>
  <si>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</si>
  <si>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</si>
  <si>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</si>
  <si>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</si>
  <si>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</si>
  <si>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</si>
  <si>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</si>
  <si>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</si>
  <si>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</si>
  <si>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</si>
  <si>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</si>
  <si>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</si>
  <si>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</si>
  <si>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</si>
  <si>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</si>
  <si>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</si>
  <si>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</si>
  <si>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</si>
  <si>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</si>
  <si>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</si>
  <si>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</si>
  <si>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</si>
  <si>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</si>
  <si>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</si>
  <si>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</si>
  <si>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</si>
  <si>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</si>
  <si>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</si>
  <si>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</si>
  <si>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</si>
  <si>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</si>
  <si>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</si>
  <si>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</si>
  <si>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</si>
  <si>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</si>
  <si>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</si>
  <si>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</si>
  <si>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</si>
  <si>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</si>
  <si>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</si>
  <si>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</si>
  <si>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</si>
  <si>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</si>
  <si>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</si>
  <si>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</si>
  <si>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</si>
  <si>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</si>
  <si>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</si>
  <si>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</si>
  <si>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</si>
  <si>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</si>
  <si>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</si>
  <si>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</si>
  <si>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</si>
  <si>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</si>
  <si>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</si>
  <si>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</si>
  <si>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</si>
  <si>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</si>
  <si>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</si>
  <si>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</si>
  <si>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</si>
  <si>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</si>
  <si>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</si>
  <si>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</si>
  <si>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</si>
  <si>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</si>
  <si>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</si>
  <si>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</si>
  <si>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</si>
  <si>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</si>
  <si>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</si>
  <si>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</si>
  <si>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</si>
  <si>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</si>
  <si>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</si>
  <si>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</si>
  <si>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</si>
  <si>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</si>
  <si>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</si>
  <si>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</si>
  <si>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</si>
  <si>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</si>
  <si>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</si>
  <si>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</si>
  <si>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</si>
  <si>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</si>
  <si>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</si>
  <si>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</si>
  <si>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</si>
  <si>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</si>
  <si>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</si>
  <si>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</si>
  <si>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</si>
  <si>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</si>
  <si>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</si>
  <si>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</si>
  <si>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</si>
  <si>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</si>
  <si>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</si>
  <si>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</si>
  <si>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</si>
  <si>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</si>
  <si>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</si>
  <si>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</si>
  <si>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</si>
  <si>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</si>
  <si>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</si>
  <si>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</si>
  <si>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</si>
  <si>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</si>
  <si>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</si>
  <si>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</si>
  <si>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</si>
  <si>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</si>
  <si>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</si>
  <si>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</si>
  <si>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</si>
  <si>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</si>
  <si>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</si>
  <si>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</si>
  <si>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</si>
  <si>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</si>
  <si>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</si>
  <si>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</si>
  <si>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</si>
  <si>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</si>
  <si>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</si>
  <si>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</si>
  <si>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</si>
  <si>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</si>
  <si>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</si>
  <si>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</si>
  <si>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</si>
  <si>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</si>
  <si>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</si>
  <si>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</si>
  <si>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</si>
  <si>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</si>
  <si>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</si>
  <si>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</si>
  <si>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</si>
  <si>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</si>
  <si>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</si>
  <si>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</si>
  <si>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</si>
  <si>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</si>
  <si>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</si>
  <si>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</si>
  <si>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</si>
  <si>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</si>
  <si>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</si>
  <si>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</si>
  <si>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</si>
  <si>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</si>
  <si>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</si>
  <si>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</si>
  <si>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</si>
  <si>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</si>
  <si>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</si>
  <si>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</si>
  <si>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</si>
  <si>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</si>
  <si>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</si>
  <si>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</si>
  <si>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</si>
  <si>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</si>
  <si>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</si>
  <si>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</si>
  <si>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</si>
  <si>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</si>
  <si>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</si>
  <si>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</si>
  <si>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</si>
  <si>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</si>
  <si>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</si>
  <si>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</si>
  <si>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</si>
  <si>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</si>
  <si>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</si>
  <si>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</si>
  <si>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</si>
  <si>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</si>
  <si>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</si>
  <si>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</si>
  <si>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</si>
  <si>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</si>
  <si>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</si>
  <si>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</si>
  <si>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</si>
  <si>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</si>
  <si>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</si>
  <si>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</si>
  <si>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</si>
  <si>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</si>
  <si>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</si>
  <si>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</si>
  <si>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</si>
  <si>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</si>
  <si>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</si>
  <si>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</si>
  <si>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</si>
  <si>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</si>
  <si>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</si>
  <si>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</si>
  <si>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</si>
  <si>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</si>
  <si>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</si>
  <si>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</si>
  <si>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</si>
  <si>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</si>
  <si>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</si>
  <si>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</si>
  <si>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</si>
  <si>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</si>
  <si>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</si>
  <si>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</si>
  <si>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</si>
  <si>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</si>
  <si>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</si>
  <si>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</si>
  <si>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</si>
  <si>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</si>
  <si>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</si>
  <si>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</si>
  <si>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</si>
  <si>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</si>
  <si>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</si>
  <si>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</si>
  <si>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</si>
  <si>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</si>
  <si>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</si>
  <si>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</si>
  <si>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</si>
  <si>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</si>
  <si>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</si>
  <si>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</si>
  <si>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</si>
  <si>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</si>
  <si>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</si>
  <si>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</si>
  <si>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</si>
  <si>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</si>
  <si>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</si>
  <si>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</si>
  <si>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</si>
  <si>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</si>
  <si>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</si>
  <si>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</si>
  <si>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</si>
  <si>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</si>
  <si>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</si>
  <si>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</si>
  <si>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</si>
  <si>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</si>
  <si>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</si>
  <si>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</si>
  <si>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</si>
  <si>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</si>
  <si>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</si>
  <si>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</si>
  <si>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</si>
  <si>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</si>
  <si>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</si>
  <si>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</si>
  <si>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</si>
  <si>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</si>
  <si>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</si>
  <si>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</si>
  <si>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</si>
  <si>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</si>
  <si>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</si>
  <si>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</si>
  <si>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</si>
  <si>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</si>
  <si>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</si>
  <si>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</si>
  <si>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</si>
  <si>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</si>
  <si>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</si>
  <si>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</si>
  <si>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</si>
  <si>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</si>
  <si>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</si>
  <si>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</si>
  <si>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</si>
  <si>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</si>
  <si>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</si>
  <si>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</si>
  <si>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</si>
  <si>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</si>
  <si>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</si>
  <si>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</si>
  <si>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</si>
  <si>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</si>
  <si>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</si>
  <si>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</si>
  <si>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</si>
  <si>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</si>
  <si>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</si>
  <si>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</si>
  <si>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</si>
  <si>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</si>
  <si>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</si>
  <si>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</si>
  <si>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</si>
  <si>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</si>
  <si>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</si>
  <si>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</si>
  <si>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</si>
  <si>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</si>
  <si>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</si>
  <si>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</si>
  <si>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</si>
  <si>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</si>
  <si>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</si>
  <si>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</si>
  <si>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</si>
  <si>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</si>
  <si>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</si>
  <si>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</si>
  <si>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</si>
  <si>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</si>
  <si>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</si>
  <si>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</si>
  <si>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</si>
  <si>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</si>
  <si>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</si>
  <si>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</si>
  <si>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</si>
  <si>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</si>
  <si>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</si>
  <si>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</si>
  <si>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</si>
  <si>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</si>
  <si>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</si>
  <si>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</si>
  <si>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</si>
  <si>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</si>
  <si>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</si>
  <si>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</si>
  <si>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</si>
  <si>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</si>
  <si>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</si>
  <si>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</si>
  <si>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</si>
  <si>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</si>
  <si>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</si>
  <si>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</si>
  <si>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</si>
  <si>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</si>
  <si>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</si>
  <si>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</si>
  <si>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</si>
  <si>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</si>
  <si>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</si>
  <si>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</si>
  <si>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</si>
  <si>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</si>
  <si>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</si>
  <si>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</si>
  <si>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</si>
  <si>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</si>
  <si>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</si>
  <si>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</si>
  <si>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</si>
  <si>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</si>
  <si>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</si>
  <si>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</si>
  <si>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</si>
  <si>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</si>
  <si>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</si>
  <si>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</si>
  <si>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</si>
  <si>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</si>
  <si>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</si>
  <si>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</si>
  <si>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</si>
  <si>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</si>
  <si>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</si>
  <si>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</si>
  <si>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</si>
  <si>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</si>
  <si>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</si>
  <si>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</si>
  <si>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</si>
  <si>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</si>
  <si>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</si>
  <si>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</si>
  <si>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</si>
  <si>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</si>
  <si>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Grantham</t>
  </si>
  <si>
    <t>12/08</t>
  </si>
  <si>
    <t>1/29</t>
  </si>
  <si>
    <t>Scholarships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</si>
</sst>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14" activePane="bottomRight" state="frozen"/>
      <selection pane="topRight" activeCell="F1" sqref="F1"/>
      <selection pane="bottomLeft" activeCell="A4" sqref="A4"/>
      <selection pane="bottomRight" activeCell="H522" sqref="H522:H52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211</v>
      </c>
      <c r="C2" s="21">
        <v>211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331270+122+2</f>
        <v>331394</v>
      </c>
      <c r="G9" s="18"/>
      <c r="H9" s="18"/>
      <c r="I9" s="18"/>
      <c r="J9" s="67">
        <f>SUM(I439)</f>
        <v>486542.62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5506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1381</v>
      </c>
      <c r="H13" s="18">
        <f>17051</f>
        <v>17051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105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331394</v>
      </c>
      <c r="G19" s="41">
        <f>SUM(G9:G18)</f>
        <v>6992</v>
      </c>
      <c r="H19" s="41">
        <f>SUM(H9:H18)</f>
        <v>17051</v>
      </c>
      <c r="I19" s="41">
        <f>SUM(I9:I18)</f>
        <v>0</v>
      </c>
      <c r="J19" s="41">
        <f>SUM(J9:J18)</f>
        <v>486542.62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5506-9073</f>
        <v>-3567</v>
      </c>
      <c r="G22" s="18"/>
      <c r="H22" s="18">
        <v>9074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5290</f>
        <v>5290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903+792-375+2830+1834+3460+935-2468-367</f>
        <v>7544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4150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13417</v>
      </c>
      <c r="G32" s="41">
        <f>SUM(G22:G31)</f>
        <v>0</v>
      </c>
      <c r="H32" s="41">
        <f>SUM(H22:H31)</f>
        <v>9074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6251+741</f>
        <v>6992</v>
      </c>
      <c r="H48" s="18">
        <f>-1631+9608</f>
        <v>7977</v>
      </c>
      <c r="I48" s="18"/>
      <c r="J48" s="13">
        <f>SUM(I459)</f>
        <v>486542.62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9756</f>
        <v>9756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268758+39463</f>
        <v>308221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317977</v>
      </c>
      <c r="G51" s="41">
        <f>SUM(G35:G50)</f>
        <v>6992</v>
      </c>
      <c r="H51" s="41">
        <f>SUM(H35:H50)</f>
        <v>7977</v>
      </c>
      <c r="I51" s="41">
        <f>SUM(I35:I50)</f>
        <v>0</v>
      </c>
      <c r="J51" s="41">
        <f>SUM(J35:J50)</f>
        <v>486542.62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331394</v>
      </c>
      <c r="G52" s="41">
        <f>G51+G32</f>
        <v>6992</v>
      </c>
      <c r="H52" s="41">
        <f>H51+H32</f>
        <v>17051</v>
      </c>
      <c r="I52" s="41">
        <f>I51+I32</f>
        <v>0</v>
      </c>
      <c r="J52" s="41">
        <f>J51+J32</f>
        <v>486542.62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7528644-1232228</f>
        <v>6296416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6296416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2199</v>
      </c>
      <c r="G96" s="18"/>
      <c r="H96" s="18"/>
      <c r="I96" s="18"/>
      <c r="J96" s="18">
        <f>L408</f>
        <v>3266.8399999999924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74020</f>
        <v>74020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71144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22+37485+3145+182</f>
        <v>40834</v>
      </c>
      <c r="G110" s="18"/>
      <c r="H110" s="18">
        <f>259+600</f>
        <v>859</v>
      </c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114177</v>
      </c>
      <c r="G111" s="41">
        <f>SUM(G96:G110)</f>
        <v>74020</v>
      </c>
      <c r="H111" s="41">
        <f>SUM(H96:H110)</f>
        <v>859</v>
      </c>
      <c r="I111" s="41">
        <f>SUM(I96:I110)</f>
        <v>0</v>
      </c>
      <c r="J111" s="41">
        <f>SUM(J96:J110)</f>
        <v>3266.8399999999924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6410593</v>
      </c>
      <c r="G112" s="41">
        <f>G60+G111</f>
        <v>74020</v>
      </c>
      <c r="H112" s="41">
        <f>H60+H79+H94+H111</f>
        <v>859</v>
      </c>
      <c r="I112" s="41">
        <f>I60+I111</f>
        <v>0</v>
      </c>
      <c r="J112" s="41">
        <f>J60+J111</f>
        <v>3266.8399999999924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12717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1232228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1244945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107513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18538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882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126051</v>
      </c>
      <c r="G136" s="41">
        <f>SUM(G123:G135)</f>
        <v>882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1370996</v>
      </c>
      <c r="G140" s="41">
        <f>G121+SUM(G136:G137)</f>
        <v>882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f>20955+9400</f>
        <v>30355</v>
      </c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30355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3900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17400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1040+46664</f>
        <v>47704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5272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5272</v>
      </c>
      <c r="G162" s="41">
        <f>SUM(G150:G161)</f>
        <v>17400</v>
      </c>
      <c r="H162" s="41">
        <f>SUM(H150:H161)</f>
        <v>51604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5272</v>
      </c>
      <c r="G169" s="41">
        <f>G147+G162+SUM(G163:G168)</f>
        <v>17400</v>
      </c>
      <c r="H169" s="41">
        <f>H147+H162+SUM(H163:H168)</f>
        <v>81959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5000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5000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7786861</v>
      </c>
      <c r="G193" s="47">
        <f>G112+G140+G169+G192</f>
        <v>97302</v>
      </c>
      <c r="H193" s="47">
        <f>H112+H140+H169+H192</f>
        <v>82818</v>
      </c>
      <c r="I193" s="47">
        <f>I112+I140+I169+I192</f>
        <v>0</v>
      </c>
      <c r="J193" s="47">
        <f>J112+J140+J192</f>
        <v>3266.8399999999924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1072683+29043+26120+8385+2000</f>
        <v>1138231</v>
      </c>
      <c r="G197" s="18">
        <f>650+237796+16007+4251+68885+16110+142169+1853+4400</f>
        <v>492121</v>
      </c>
      <c r="H197" s="18">
        <f>450+2500+37809</f>
        <v>40759</v>
      </c>
      <c r="I197" s="18">
        <f>21029+9491+14866+1465+6100</f>
        <v>52951</v>
      </c>
      <c r="J197" s="18">
        <f>3969+900+14323</f>
        <v>19192</v>
      </c>
      <c r="K197" s="18"/>
      <c r="L197" s="19">
        <f>SUM(F197:K197)</f>
        <v>1743254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107042+11330+166972+8044+3403+2070+155+43722</f>
        <v>342738</v>
      </c>
      <c r="G198" s="18">
        <f>173167+10409+1601+24233+5667+366+21005+1175+611</f>
        <v>238234</v>
      </c>
      <c r="H198" s="18">
        <f>2967+6200+10172+1581+12752</f>
        <v>33672</v>
      </c>
      <c r="I198" s="18">
        <f>1437+242+411</f>
        <v>2090</v>
      </c>
      <c r="J198" s="18"/>
      <c r="K198" s="18"/>
      <c r="L198" s="19">
        <f>SUM(F198:K198)</f>
        <v>616734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59831+53710+12717</f>
        <v>126258</v>
      </c>
      <c r="G202" s="18">
        <f>5033-47+281+4021+941+8472+50+5033+1302+252+3632+849+7605+50+788+184+50</f>
        <v>38496</v>
      </c>
      <c r="H202" s="18">
        <f>150+19433+46901+33494+162</f>
        <v>100140</v>
      </c>
      <c r="I202" s="18">
        <f>2231+506+297</f>
        <v>3034</v>
      </c>
      <c r="J202" s="18">
        <f>380</f>
        <v>380</v>
      </c>
      <c r="K202" s="18">
        <f>135</f>
        <v>135</v>
      </c>
      <c r="L202" s="19">
        <f t="shared" ref="L202:L208" si="0">SUM(F202:K202)</f>
        <v>268443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56251</f>
        <v>56251</v>
      </c>
      <c r="G203" s="18">
        <f>221+32+277+13582+4391+20131+1302+265+3323+777+7965+50+241</f>
        <v>52557</v>
      </c>
      <c r="H203" s="18">
        <f>4952+3841+619+164+4812+24485</f>
        <v>38873</v>
      </c>
      <c r="I203" s="18">
        <f>560+4731+6555+307+4175+8</f>
        <v>16336</v>
      </c>
      <c r="J203" s="18">
        <f>250+1406+36284</f>
        <v>37940</v>
      </c>
      <c r="K203" s="18"/>
      <c r="L203" s="19">
        <f t="shared" si="0"/>
        <v>201957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2800+128315+13192</f>
        <v>144307</v>
      </c>
      <c r="G204" s="18">
        <f>168+40+97+20131+1302+247+8531+1995+7093+182+553</f>
        <v>40339</v>
      </c>
      <c r="H204" s="18">
        <f>45+121821+11050+3450+9463+600+448+2016+4474+2818+179+966+93+721</f>
        <v>158144</v>
      </c>
      <c r="I204" s="18">
        <f>717+1012+2866+517</f>
        <v>5112</v>
      </c>
      <c r="J204" s="18">
        <f>954+849</f>
        <v>1803</v>
      </c>
      <c r="K204" s="18">
        <f>3252+1755</f>
        <v>5007</v>
      </c>
      <c r="L204" s="19">
        <f t="shared" si="0"/>
        <v>354712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132989</f>
        <v>132989</v>
      </c>
      <c r="G205" s="18">
        <f>60394+3906+696+7853+1836+5492+11611+27+177+601</f>
        <v>92593</v>
      </c>
      <c r="H205" s="18">
        <f>1889+8534+2906+3461</f>
        <v>16790</v>
      </c>
      <c r="I205" s="18">
        <f>2567+3197+2900</f>
        <v>8664</v>
      </c>
      <c r="J205" s="18">
        <f>3295</f>
        <v>3295</v>
      </c>
      <c r="K205" s="18">
        <f>500</f>
        <v>500</v>
      </c>
      <c r="L205" s="19">
        <f t="shared" si="0"/>
        <v>254831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82949+58287+963</f>
        <v>142199</v>
      </c>
      <c r="G207" s="18">
        <f>37280+1791+652+8539+1997+15056+694</f>
        <v>66009</v>
      </c>
      <c r="H207" s="18">
        <f>5922+60919+1537+11323+746</f>
        <v>80447</v>
      </c>
      <c r="I207" s="18">
        <f>27443+24965+41924+604</f>
        <v>94936</v>
      </c>
      <c r="J207" s="18">
        <f>5692+1</f>
        <v>5693</v>
      </c>
      <c r="K207" s="18"/>
      <c r="L207" s="19">
        <f t="shared" si="0"/>
        <v>389284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80986</v>
      </c>
      <c r="I208" s="18"/>
      <c r="J208" s="18"/>
      <c r="K208" s="18"/>
      <c r="L208" s="19">
        <f t="shared" si="0"/>
        <v>80986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2082973</v>
      </c>
      <c r="G211" s="41">
        <f t="shared" si="1"/>
        <v>1020349</v>
      </c>
      <c r="H211" s="41">
        <f t="shared" si="1"/>
        <v>549811</v>
      </c>
      <c r="I211" s="41">
        <f t="shared" si="1"/>
        <v>183123</v>
      </c>
      <c r="J211" s="41">
        <f t="shared" si="1"/>
        <v>68303</v>
      </c>
      <c r="K211" s="41">
        <f t="shared" si="1"/>
        <v>5642</v>
      </c>
      <c r="L211" s="41">
        <f t="shared" si="1"/>
        <v>3910201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f>1074659</f>
        <v>1074659</v>
      </c>
      <c r="I215" s="18"/>
      <c r="J215" s="18"/>
      <c r="K215" s="18"/>
      <c r="L215" s="19">
        <f>SUM(F215:K215)</f>
        <v>1074659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63041</v>
      </c>
      <c r="I216" s="18"/>
      <c r="J216" s="18"/>
      <c r="K216" s="18"/>
      <c r="L216" s="19">
        <f>SUM(F216:K216)</f>
        <v>63041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24132</v>
      </c>
      <c r="I226" s="18"/>
      <c r="J226" s="18"/>
      <c r="K226" s="18"/>
      <c r="L226" s="19">
        <f t="shared" si="2"/>
        <v>24132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1161832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1161832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1919529</f>
        <v>1919529</v>
      </c>
      <c r="I233" s="18"/>
      <c r="J233" s="18"/>
      <c r="K233" s="18"/>
      <c r="L233" s="19">
        <f>SUM(F233:K233)</f>
        <v>1919529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52145</v>
      </c>
      <c r="I234" s="18"/>
      <c r="J234" s="18"/>
      <c r="K234" s="18"/>
      <c r="L234" s="19">
        <f>SUM(F234:K234)</f>
        <v>52145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50575</v>
      </c>
      <c r="I244" s="18"/>
      <c r="J244" s="18"/>
      <c r="K244" s="18"/>
      <c r="L244" s="19">
        <f t="shared" si="4"/>
        <v>50575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2022249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2022249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2082973</v>
      </c>
      <c r="G257" s="41">
        <f t="shared" si="8"/>
        <v>1020349</v>
      </c>
      <c r="H257" s="41">
        <f t="shared" si="8"/>
        <v>3733892</v>
      </c>
      <c r="I257" s="41">
        <f t="shared" si="8"/>
        <v>183123</v>
      </c>
      <c r="J257" s="41">
        <f t="shared" si="8"/>
        <v>68303</v>
      </c>
      <c r="K257" s="41">
        <f t="shared" si="8"/>
        <v>5642</v>
      </c>
      <c r="L257" s="41">
        <f t="shared" si="8"/>
        <v>7094282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355000</v>
      </c>
      <c r="L260" s="19">
        <f>SUM(F260:K260)</f>
        <v>355000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291692</f>
        <v>291692</v>
      </c>
      <c r="L261" s="19">
        <f>SUM(F261:K261)</f>
        <v>291692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5000</f>
        <v>5000</v>
      </c>
      <c r="L263" s="19">
        <f>SUM(F263:K263)</f>
        <v>5000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651692</v>
      </c>
      <c r="L270" s="41">
        <f t="shared" si="9"/>
        <v>651692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2082973</v>
      </c>
      <c r="G271" s="42">
        <f t="shared" si="11"/>
        <v>1020349</v>
      </c>
      <c r="H271" s="42">
        <f t="shared" si="11"/>
        <v>3733892</v>
      </c>
      <c r="I271" s="42">
        <f t="shared" si="11"/>
        <v>183123</v>
      </c>
      <c r="J271" s="42">
        <f t="shared" si="11"/>
        <v>68303</v>
      </c>
      <c r="K271" s="42">
        <f t="shared" si="11"/>
        <v>657334</v>
      </c>
      <c r="L271" s="42">
        <f t="shared" si="11"/>
        <v>7745974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140</v>
      </c>
      <c r="J276" s="18">
        <v>12500</v>
      </c>
      <c r="K276" s="18"/>
      <c r="L276" s="19">
        <f>SUM(F276:K276)</f>
        <v>12640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45000</v>
      </c>
      <c r="G277" s="18"/>
      <c r="H277" s="18">
        <v>4740</v>
      </c>
      <c r="I277" s="18">
        <f>839+541</f>
        <v>1380</v>
      </c>
      <c r="J277" s="18">
        <v>2371</v>
      </c>
      <c r="K277" s="18"/>
      <c r="L277" s="19">
        <f>SUM(F277:K277)</f>
        <v>53491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6856</v>
      </c>
      <c r="I282" s="18"/>
      <c r="J282" s="18"/>
      <c r="K282" s="18"/>
      <c r="L282" s="19">
        <f t="shared" si="12"/>
        <v>6856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45000</v>
      </c>
      <c r="G290" s="42">
        <f t="shared" si="13"/>
        <v>0</v>
      </c>
      <c r="H290" s="42">
        <f t="shared" si="13"/>
        <v>11596</v>
      </c>
      <c r="I290" s="42">
        <f t="shared" si="13"/>
        <v>1520</v>
      </c>
      <c r="J290" s="42">
        <f t="shared" si="13"/>
        <v>14871</v>
      </c>
      <c r="K290" s="42">
        <f t="shared" si="13"/>
        <v>0</v>
      </c>
      <c r="L290" s="41">
        <f t="shared" si="13"/>
        <v>72987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45000</v>
      </c>
      <c r="G338" s="41">
        <f t="shared" si="20"/>
        <v>0</v>
      </c>
      <c r="H338" s="41">
        <f t="shared" si="20"/>
        <v>11596</v>
      </c>
      <c r="I338" s="41">
        <f t="shared" si="20"/>
        <v>1520</v>
      </c>
      <c r="J338" s="41">
        <f t="shared" si="20"/>
        <v>14871</v>
      </c>
      <c r="K338" s="41">
        <f t="shared" si="20"/>
        <v>0</v>
      </c>
      <c r="L338" s="41">
        <f t="shared" si="20"/>
        <v>72987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45000</v>
      </c>
      <c r="G352" s="41">
        <f>G338</f>
        <v>0</v>
      </c>
      <c r="H352" s="41">
        <f>H338</f>
        <v>11596</v>
      </c>
      <c r="I352" s="41">
        <f>I338</f>
        <v>1520</v>
      </c>
      <c r="J352" s="41">
        <f>J338</f>
        <v>14871</v>
      </c>
      <c r="K352" s="47">
        <f>K338+K351</f>
        <v>0</v>
      </c>
      <c r="L352" s="41">
        <f>L338+L351</f>
        <v>72987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37480</v>
      </c>
      <c r="G358" s="18">
        <f>14912+712+102+2213+518+204</f>
        <v>18661</v>
      </c>
      <c r="H358" s="18">
        <v>2388</v>
      </c>
      <c r="I358" s="18">
        <f>1588+34214</f>
        <v>35802</v>
      </c>
      <c r="J358" s="18">
        <v>2230</v>
      </c>
      <c r="K358" s="18"/>
      <c r="L358" s="13">
        <f>SUM(F358:K358)</f>
        <v>96561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37480</v>
      </c>
      <c r="G362" s="47">
        <f t="shared" si="22"/>
        <v>18661</v>
      </c>
      <c r="H362" s="47">
        <f t="shared" si="22"/>
        <v>2388</v>
      </c>
      <c r="I362" s="47">
        <f t="shared" si="22"/>
        <v>35802</v>
      </c>
      <c r="J362" s="47">
        <f t="shared" si="22"/>
        <v>2230</v>
      </c>
      <c r="K362" s="47">
        <f t="shared" si="22"/>
        <v>0</v>
      </c>
      <c r="L362" s="47">
        <f t="shared" si="22"/>
        <v>96561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34214</v>
      </c>
      <c r="G367" s="18"/>
      <c r="H367" s="18"/>
      <c r="I367" s="56">
        <f>SUM(F367:H367)</f>
        <v>34214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1588</f>
        <v>1588</v>
      </c>
      <c r="G368" s="63"/>
      <c r="H368" s="63"/>
      <c r="I368" s="56">
        <f>SUM(F368:H368)</f>
        <v>1588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35802</v>
      </c>
      <c r="G369" s="47">
        <f>SUM(G367:G368)</f>
        <v>0</v>
      </c>
      <c r="H369" s="47">
        <f>SUM(H367:H368)</f>
        <v>0</v>
      </c>
      <c r="I369" s="47">
        <f>SUM(I367:I368)</f>
        <v>35802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f>92345.65-91615</f>
        <v>730.64999999999418</v>
      </c>
      <c r="I389" s="18"/>
      <c r="J389" s="24" t="s">
        <v>289</v>
      </c>
      <c r="K389" s="24" t="s">
        <v>289</v>
      </c>
      <c r="L389" s="56">
        <f t="shared" si="25"/>
        <v>730.64999999999418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730.64999999999418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730.64999999999418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f>56466.69-56079+5-9.98</f>
        <v>382.71000000000231</v>
      </c>
      <c r="I396" s="18"/>
      <c r="J396" s="24" t="s">
        <v>289</v>
      </c>
      <c r="K396" s="24" t="s">
        <v>289</v>
      </c>
      <c r="L396" s="56">
        <f t="shared" si="26"/>
        <v>382.71000000000231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f>229867.93-228288</f>
        <v>1579.929999999993</v>
      </c>
      <c r="I397" s="18"/>
      <c r="J397" s="24" t="s">
        <v>289</v>
      </c>
      <c r="K397" s="24" t="s">
        <v>289</v>
      </c>
      <c r="L397" s="56">
        <f t="shared" si="26"/>
        <v>1579.929999999993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f>94740.55-94167</f>
        <v>573.55000000000291</v>
      </c>
      <c r="I398" s="18"/>
      <c r="J398" s="24" t="s">
        <v>289</v>
      </c>
      <c r="K398" s="24" t="s">
        <v>289</v>
      </c>
      <c r="L398" s="56">
        <f t="shared" si="26"/>
        <v>573.55000000000291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2536.1899999999982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2536.1899999999982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3266.8399999999924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3266.8399999999924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914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f>14707-13126.78</f>
        <v>1580.2199999999993</v>
      </c>
      <c r="I429" s="18"/>
      <c r="J429" s="18"/>
      <c r="K429" s="18"/>
      <c r="L429" s="56">
        <f>SUM(F429:K429)</f>
        <v>1580.2199999999993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1580.2199999999993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1580.2199999999993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1580.2199999999993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1580.2199999999993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92345.67</f>
        <v>92345.67</v>
      </c>
      <c r="G439" s="18">
        <f>56466.69+229867.93+94740.55</f>
        <v>381075.17</v>
      </c>
      <c r="H439" s="18">
        <f>630.41+2274.91+10116.05+100.41</f>
        <v>13121.779999999999</v>
      </c>
      <c r="I439" s="56">
        <f t="shared" ref="I439:I445" si="33">SUM(F439:H439)</f>
        <v>486542.62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92345.67</v>
      </c>
      <c r="G446" s="13">
        <f>SUM(G439:G445)</f>
        <v>381075.17</v>
      </c>
      <c r="H446" s="13">
        <f>SUM(H439:H445)</f>
        <v>13121.779999999999</v>
      </c>
      <c r="I446" s="13">
        <f>SUM(I439:I445)</f>
        <v>486542.62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92345.67</v>
      </c>
      <c r="G459" s="18">
        <v>381075.17</v>
      </c>
      <c r="H459" s="18">
        <v>13121.78</v>
      </c>
      <c r="I459" s="56">
        <f t="shared" si="34"/>
        <v>486542.62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92345.67</v>
      </c>
      <c r="G460" s="83">
        <f>SUM(G454:G459)</f>
        <v>381075.17</v>
      </c>
      <c r="H460" s="83">
        <f>SUM(H454:H459)</f>
        <v>13121.78</v>
      </c>
      <c r="I460" s="83">
        <f>SUM(I454:I459)</f>
        <v>486542.62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92345.67</v>
      </c>
      <c r="G461" s="42">
        <f>G452+G460</f>
        <v>381075.17</v>
      </c>
      <c r="H461" s="42">
        <f>H452+H460</f>
        <v>13121.78</v>
      </c>
      <c r="I461" s="42">
        <f>I452+I460</f>
        <v>486542.62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260882</v>
      </c>
      <c r="G465" s="18">
        <v>8531</v>
      </c>
      <c r="H465" s="18">
        <f>-19779</f>
        <v>-19779</v>
      </c>
      <c r="I465" s="18"/>
      <c r="J465" s="18">
        <v>484856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7786861</v>
      </c>
      <c r="G468" s="18">
        <f>G193</f>
        <v>97302</v>
      </c>
      <c r="H468" s="18">
        <f>H193</f>
        <v>82818</v>
      </c>
      <c r="I468" s="18"/>
      <c r="J468" s="18">
        <f>L408</f>
        <v>3266.8399999999924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f>17633-1425</f>
        <v>16208</v>
      </c>
      <c r="G469" s="18"/>
      <c r="H469" s="18">
        <f>7977+9948</f>
        <v>17925</v>
      </c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7803069</v>
      </c>
      <c r="G470" s="53">
        <f>SUM(G468:G469)</f>
        <v>97302</v>
      </c>
      <c r="H470" s="53">
        <f>SUM(H468:H469)</f>
        <v>100743</v>
      </c>
      <c r="I470" s="53">
        <f>SUM(I468:I469)</f>
        <v>0</v>
      </c>
      <c r="J470" s="53">
        <f>SUM(J468:J469)</f>
        <v>3266.8399999999924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7745974</v>
      </c>
      <c r="G472" s="18">
        <f>L362</f>
        <v>96561</v>
      </c>
      <c r="H472" s="18">
        <f>L290</f>
        <v>72987</v>
      </c>
      <c r="I472" s="18"/>
      <c r="J472" s="18">
        <f>L434</f>
        <v>1580.2199999999993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f>8531-5918-333</f>
        <v>2280</v>
      </c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7745974</v>
      </c>
      <c r="G474" s="53">
        <f>SUM(G472:G473)</f>
        <v>98841</v>
      </c>
      <c r="H474" s="53">
        <f>SUM(H472:H473)</f>
        <v>72987</v>
      </c>
      <c r="I474" s="53">
        <f>SUM(I472:I473)</f>
        <v>0</v>
      </c>
      <c r="J474" s="53">
        <f>SUM(J472:J473)</f>
        <v>1580.2199999999993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317977</v>
      </c>
      <c r="G476" s="53">
        <f>(G465+G470)- G474</f>
        <v>6992</v>
      </c>
      <c r="H476" s="53">
        <f>(H465+H470)- H474</f>
        <v>7977</v>
      </c>
      <c r="I476" s="53">
        <f>(I465+I470)- I474</f>
        <v>0</v>
      </c>
      <c r="J476" s="53">
        <f>(J465+J470)- J474</f>
        <v>486542.62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7150000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5.0999999999999996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5675000</v>
      </c>
      <c r="G495" s="18"/>
      <c r="H495" s="18"/>
      <c r="I495" s="18"/>
      <c r="J495" s="18"/>
      <c r="K495" s="53">
        <f>SUM(F495:J495)</f>
        <v>5675000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355000</v>
      </c>
      <c r="G497" s="18"/>
      <c r="H497" s="18"/>
      <c r="I497" s="18"/>
      <c r="J497" s="18"/>
      <c r="K497" s="53">
        <f t="shared" si="35"/>
        <v>355000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5320000</v>
      </c>
      <c r="G498" s="204"/>
      <c r="H498" s="204"/>
      <c r="I498" s="204"/>
      <c r="J498" s="204"/>
      <c r="K498" s="205">
        <f t="shared" si="35"/>
        <v>5320000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2586357</v>
      </c>
      <c r="G499" s="18"/>
      <c r="H499" s="18"/>
      <c r="I499" s="18"/>
      <c r="J499" s="18"/>
      <c r="K499" s="53">
        <f t="shared" si="35"/>
        <v>2586357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7906357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7906357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355000</v>
      </c>
      <c r="G501" s="204"/>
      <c r="H501" s="204"/>
      <c r="I501" s="204"/>
      <c r="J501" s="204"/>
      <c r="K501" s="205">
        <f t="shared" si="35"/>
        <v>355000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275719</v>
      </c>
      <c r="G502" s="18"/>
      <c r="H502" s="18"/>
      <c r="I502" s="18"/>
      <c r="J502" s="18"/>
      <c r="K502" s="53">
        <f t="shared" si="35"/>
        <v>275719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630719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630719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 t="shared" ref="F521:K521" si="36">F198+F277</f>
        <v>387738</v>
      </c>
      <c r="G521" s="18">
        <f t="shared" si="36"/>
        <v>238234</v>
      </c>
      <c r="H521" s="18">
        <f t="shared" si="36"/>
        <v>38412</v>
      </c>
      <c r="I521" s="18">
        <f t="shared" si="36"/>
        <v>3470</v>
      </c>
      <c r="J521" s="18">
        <f t="shared" si="36"/>
        <v>2371</v>
      </c>
      <c r="K521" s="18">
        <f t="shared" si="36"/>
        <v>0</v>
      </c>
      <c r="L521" s="88">
        <f>SUM(F521:K521)</f>
        <v>670225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63041</v>
      </c>
      <c r="I522" s="18"/>
      <c r="J522" s="18"/>
      <c r="K522" s="18"/>
      <c r="L522" s="88">
        <f>SUM(F522:K522)</f>
        <v>63041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52145</v>
      </c>
      <c r="I523" s="18"/>
      <c r="J523" s="18"/>
      <c r="K523" s="18"/>
      <c r="L523" s="88">
        <f>SUM(F523:K523)</f>
        <v>52145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387738</v>
      </c>
      <c r="G524" s="108">
        <f t="shared" ref="G524:L524" si="37">SUM(G521:G523)</f>
        <v>238234</v>
      </c>
      <c r="H524" s="108">
        <f t="shared" si="37"/>
        <v>153598</v>
      </c>
      <c r="I524" s="108">
        <f t="shared" si="37"/>
        <v>3470</v>
      </c>
      <c r="J524" s="108">
        <f t="shared" si="37"/>
        <v>2371</v>
      </c>
      <c r="K524" s="108">
        <f t="shared" si="37"/>
        <v>0</v>
      </c>
      <c r="L524" s="89">
        <f t="shared" si="37"/>
        <v>785411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12717</f>
        <v>12717</v>
      </c>
      <c r="G526" s="18">
        <f>788+184+50</f>
        <v>1022</v>
      </c>
      <c r="H526" s="18">
        <f>19433+46901+33494+162</f>
        <v>99990</v>
      </c>
      <c r="I526" s="18">
        <f>506+297</f>
        <v>803</v>
      </c>
      <c r="J526" s="18"/>
      <c r="K526" s="18"/>
      <c r="L526" s="88">
        <f>SUM(F526:K526)</f>
        <v>114532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12717</v>
      </c>
      <c r="G529" s="89">
        <f t="shared" ref="G529:L529" si="38">SUM(G526:G528)</f>
        <v>1022</v>
      </c>
      <c r="H529" s="89">
        <f t="shared" si="38"/>
        <v>99990</v>
      </c>
      <c r="I529" s="89">
        <f t="shared" si="38"/>
        <v>803</v>
      </c>
      <c r="J529" s="89">
        <f t="shared" si="38"/>
        <v>0</v>
      </c>
      <c r="K529" s="89">
        <f t="shared" si="38"/>
        <v>0</v>
      </c>
      <c r="L529" s="89">
        <f t="shared" si="38"/>
        <v>114532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41872</v>
      </c>
      <c r="G531" s="18">
        <v>3439</v>
      </c>
      <c r="H531" s="18">
        <v>500</v>
      </c>
      <c r="I531" s="18">
        <v>500</v>
      </c>
      <c r="J531" s="18"/>
      <c r="K531" s="18"/>
      <c r="L531" s="88">
        <f>SUM(F531:K531)</f>
        <v>46311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41872</v>
      </c>
      <c r="G534" s="89">
        <f t="shared" ref="G534:L534" si="39">SUM(G531:G533)</f>
        <v>3439</v>
      </c>
      <c r="H534" s="89">
        <f t="shared" si="39"/>
        <v>500</v>
      </c>
      <c r="I534" s="89">
        <f t="shared" si="39"/>
        <v>500</v>
      </c>
      <c r="J534" s="89">
        <f t="shared" si="39"/>
        <v>0</v>
      </c>
      <c r="K534" s="89">
        <f t="shared" si="39"/>
        <v>0</v>
      </c>
      <c r="L534" s="89">
        <f t="shared" si="39"/>
        <v>46311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0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442327</v>
      </c>
      <c r="G545" s="89">
        <f t="shared" ref="G545:L545" si="42">G524+G529+G534+G539+G544</f>
        <v>242695</v>
      </c>
      <c r="H545" s="89">
        <f t="shared" si="42"/>
        <v>254088</v>
      </c>
      <c r="I545" s="89">
        <f t="shared" si="42"/>
        <v>4773</v>
      </c>
      <c r="J545" s="89">
        <f t="shared" si="42"/>
        <v>2371</v>
      </c>
      <c r="K545" s="89">
        <f t="shared" si="42"/>
        <v>0</v>
      </c>
      <c r="L545" s="89">
        <f t="shared" si="42"/>
        <v>946254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670225</v>
      </c>
      <c r="G549" s="87">
        <f>L526</f>
        <v>114532</v>
      </c>
      <c r="H549" s="87">
        <f>L531</f>
        <v>46311</v>
      </c>
      <c r="I549" s="87">
        <f>L536</f>
        <v>0</v>
      </c>
      <c r="J549" s="87">
        <f>L541</f>
        <v>0</v>
      </c>
      <c r="K549" s="87">
        <f>SUM(F549:J549)</f>
        <v>831068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63041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63041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52145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52145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785411</v>
      </c>
      <c r="G552" s="89">
        <f t="shared" si="43"/>
        <v>114532</v>
      </c>
      <c r="H552" s="89">
        <f t="shared" si="43"/>
        <v>46311</v>
      </c>
      <c r="I552" s="89">
        <f t="shared" si="43"/>
        <v>0</v>
      </c>
      <c r="J552" s="89">
        <f t="shared" si="43"/>
        <v>0</v>
      </c>
      <c r="K552" s="89">
        <f t="shared" si="43"/>
        <v>946254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f>H215</f>
        <v>1074659</v>
      </c>
      <c r="H575" s="18">
        <f>H233</f>
        <v>1919529</v>
      </c>
      <c r="I575" s="87">
        <f>SUM(F575:H575)</f>
        <v>2994188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f>H216</f>
        <v>63041</v>
      </c>
      <c r="H582" s="18">
        <f>H234</f>
        <v>52145</v>
      </c>
      <c r="I582" s="87">
        <f t="shared" si="48"/>
        <v>115186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L208</f>
        <v>80986</v>
      </c>
      <c r="I591" s="18">
        <f>H226</f>
        <v>24132</v>
      </c>
      <c r="J591" s="18">
        <f>H244</f>
        <v>50575</v>
      </c>
      <c r="K591" s="104">
        <f t="shared" ref="K591:K597" si="49">SUM(H591:J591)</f>
        <v>155693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9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80986</v>
      </c>
      <c r="I598" s="108">
        <f>SUM(I591:I597)</f>
        <v>24132</v>
      </c>
      <c r="J598" s="108">
        <f>SUM(J591:J597)</f>
        <v>50575</v>
      </c>
      <c r="K598" s="108">
        <f>SUM(K591:K597)</f>
        <v>155693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J257+J352</f>
        <v>83174</v>
      </c>
      <c r="I604" s="18"/>
      <c r="J604" s="18"/>
      <c r="K604" s="104">
        <f>SUM(H604:J604)</f>
        <v>83174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83174</v>
      </c>
      <c r="I605" s="108">
        <f>SUM(I602:I604)</f>
        <v>0</v>
      </c>
      <c r="J605" s="108">
        <f>SUM(J602:J604)</f>
        <v>0</v>
      </c>
      <c r="K605" s="108">
        <f>SUM(K602:K604)</f>
        <v>83174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331394</v>
      </c>
      <c r="H617" s="109">
        <f>SUM(F52)</f>
        <v>331394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6992</v>
      </c>
      <c r="H618" s="109">
        <f>SUM(G52)</f>
        <v>6992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17051</v>
      </c>
      <c r="H619" s="109">
        <f>SUM(H52)</f>
        <v>17051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486542.62</v>
      </c>
      <c r="H621" s="109">
        <f>SUM(J52)</f>
        <v>486542.62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317977</v>
      </c>
      <c r="H622" s="109">
        <f>F476</f>
        <v>317977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6992</v>
      </c>
      <c r="H623" s="109">
        <f>G476</f>
        <v>6992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7977</v>
      </c>
      <c r="H624" s="109">
        <f>H476</f>
        <v>7977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486542.62</v>
      </c>
      <c r="H626" s="109">
        <f>J476</f>
        <v>486542.62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7786861</v>
      </c>
      <c r="H627" s="104">
        <f>SUM(F468)</f>
        <v>7786861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97302</v>
      </c>
      <c r="H628" s="104">
        <f>SUM(G468)</f>
        <v>97302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82818</v>
      </c>
      <c r="H629" s="104">
        <f>SUM(H468)</f>
        <v>82818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3266.8399999999924</v>
      </c>
      <c r="H631" s="104">
        <f>SUM(J468)</f>
        <v>3266.8399999999924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7745974</v>
      </c>
      <c r="H632" s="104">
        <f>SUM(F472)</f>
        <v>7745974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72987</v>
      </c>
      <c r="H633" s="104">
        <f>SUM(H472)</f>
        <v>72987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35802</v>
      </c>
      <c r="H634" s="104">
        <f>I369</f>
        <v>35802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96561</v>
      </c>
      <c r="H635" s="104">
        <f>SUM(G472)</f>
        <v>96561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3266.8399999999924</v>
      </c>
      <c r="H637" s="164">
        <f>SUM(J468)</f>
        <v>3266.8399999999924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1580.2199999999993</v>
      </c>
      <c r="H638" s="164">
        <f>SUM(J472)</f>
        <v>1580.2199999999993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92345.67</v>
      </c>
      <c r="H639" s="104">
        <f>SUM(F461)</f>
        <v>92345.67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381075.17</v>
      </c>
      <c r="H640" s="104">
        <f>SUM(G461)</f>
        <v>381075.17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13121.779999999999</v>
      </c>
      <c r="H641" s="104">
        <f>SUM(H461)</f>
        <v>13121.78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486542.62</v>
      </c>
      <c r="H642" s="104">
        <f>SUM(I461)</f>
        <v>486542.62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3266.8399999999924</v>
      </c>
      <c r="H644" s="104">
        <f>H408</f>
        <v>3266.8399999999924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3266.8399999999924</v>
      </c>
      <c r="H646" s="104">
        <f>L408</f>
        <v>3266.8399999999924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155693</v>
      </c>
      <c r="H647" s="104">
        <f>L208+L226+L244</f>
        <v>155693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83174</v>
      </c>
      <c r="H648" s="104">
        <f>(J257+J338)-(J255+J336)</f>
        <v>83174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80986</v>
      </c>
      <c r="H649" s="104">
        <f>H598</f>
        <v>80986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24132</v>
      </c>
      <c r="H650" s="104">
        <f>I598</f>
        <v>24132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50575</v>
      </c>
      <c r="H651" s="104">
        <f>J598</f>
        <v>50575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5000</v>
      </c>
      <c r="H652" s="104">
        <f>K263+K345</f>
        <v>5000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4079749</v>
      </c>
      <c r="G660" s="19">
        <f>(L229+L309+L359)</f>
        <v>1161832</v>
      </c>
      <c r="H660" s="19">
        <f>(L247+L328+L360)</f>
        <v>2022249</v>
      </c>
      <c r="I660" s="19">
        <f>SUM(F660:H660)</f>
        <v>7263830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74020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74020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80986</v>
      </c>
      <c r="G662" s="19">
        <f>(L226+L306)-(J226+J306)</f>
        <v>24132</v>
      </c>
      <c r="H662" s="19">
        <f>(L244+L325)-(J244+J325)</f>
        <v>50575</v>
      </c>
      <c r="I662" s="19">
        <f>SUM(F662:H662)</f>
        <v>155693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83174</v>
      </c>
      <c r="G663" s="199">
        <f>SUM(G575:G587)+SUM(I602:I604)+L612</f>
        <v>1137700</v>
      </c>
      <c r="H663" s="199">
        <f>SUM(H575:H587)+SUM(J602:J604)+L613</f>
        <v>1971674</v>
      </c>
      <c r="I663" s="19">
        <f>SUM(F663:H663)</f>
        <v>3192548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3841569</v>
      </c>
      <c r="G664" s="19">
        <f>G660-SUM(G661:G663)</f>
        <v>0</v>
      </c>
      <c r="H664" s="19">
        <f>H660-SUM(H661:H663)</f>
        <v>0</v>
      </c>
      <c r="I664" s="19">
        <f>I660-SUM(I661:I663)</f>
        <v>3841569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244.02</v>
      </c>
      <c r="G665" s="248"/>
      <c r="H665" s="248"/>
      <c r="I665" s="19">
        <f>SUM(F665:H665)</f>
        <v>244.02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15742.84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15742.84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15742.84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15742.84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Grantham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1138231</v>
      </c>
      <c r="C9" s="229">
        <f>'DOE25'!G197+'DOE25'!G215+'DOE25'!G233+'DOE25'!G276+'DOE25'!G295+'DOE25'!G314</f>
        <v>492121</v>
      </c>
    </row>
    <row r="10" spans="1:3" x14ac:dyDescent="0.2">
      <c r="A10" t="s">
        <v>779</v>
      </c>
      <c r="B10" s="240">
        <f>1072683+29043+8385+2000</f>
        <v>1112111</v>
      </c>
      <c r="C10" s="240">
        <f>492121-5130</f>
        <v>486991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26120</v>
      </c>
      <c r="C12" s="240">
        <v>5130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1138231</v>
      </c>
      <c r="C13" s="231">
        <f>SUM(C10:C12)</f>
        <v>492121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387738</v>
      </c>
      <c r="C18" s="229">
        <f>'DOE25'!G198+'DOE25'!G216+'DOE25'!G234+'DOE25'!G277+'DOE25'!G296+'DOE25'!G315</f>
        <v>238234</v>
      </c>
    </row>
    <row r="19" spans="1:3" x14ac:dyDescent="0.2">
      <c r="A19" t="s">
        <v>779</v>
      </c>
      <c r="B19" s="240">
        <f>107042+8043+45000+2070</f>
        <v>162155</v>
      </c>
      <c r="C19" s="240">
        <v>85215</v>
      </c>
    </row>
    <row r="20" spans="1:3" x14ac:dyDescent="0.2">
      <c r="A20" t="s">
        <v>780</v>
      </c>
      <c r="B20" s="240">
        <f>166972+11330+3404</f>
        <v>181706</v>
      </c>
      <c r="C20" s="240">
        <v>149580</v>
      </c>
    </row>
    <row r="21" spans="1:3" x14ac:dyDescent="0.2">
      <c r="A21" t="s">
        <v>781</v>
      </c>
      <c r="B21" s="240">
        <f>43722+155</f>
        <v>43877</v>
      </c>
      <c r="C21" s="240">
        <v>3439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387738</v>
      </c>
      <c r="C22" s="231">
        <f>SUM(C19:C21)</f>
        <v>238234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Grantham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5469362</v>
      </c>
      <c r="D5" s="20">
        <f>SUM('DOE25'!L197:L200)+SUM('DOE25'!L215:L218)+SUM('DOE25'!L233:L236)-F5-G5</f>
        <v>5450170</v>
      </c>
      <c r="E5" s="243"/>
      <c r="F5" s="255">
        <f>SUM('DOE25'!J197:J200)+SUM('DOE25'!J215:J218)+SUM('DOE25'!J233:J236)</f>
        <v>19192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268443</v>
      </c>
      <c r="D6" s="20">
        <f>'DOE25'!L202+'DOE25'!L220+'DOE25'!L238-F6-G6</f>
        <v>267928</v>
      </c>
      <c r="E6" s="243"/>
      <c r="F6" s="255">
        <f>'DOE25'!J202+'DOE25'!J220+'DOE25'!J238</f>
        <v>380</v>
      </c>
      <c r="G6" s="53">
        <f>'DOE25'!K202+'DOE25'!K220+'DOE25'!K238</f>
        <v>135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201957</v>
      </c>
      <c r="D7" s="20">
        <f>'DOE25'!L203+'DOE25'!L221+'DOE25'!L239-F7-G7</f>
        <v>164017</v>
      </c>
      <c r="E7" s="243"/>
      <c r="F7" s="255">
        <f>'DOE25'!J203+'DOE25'!J221+'DOE25'!J239</f>
        <v>37940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118502</v>
      </c>
      <c r="D8" s="243"/>
      <c r="E8" s="20">
        <f>'DOE25'!L204+'DOE25'!L222+'DOE25'!L240-F8-G8-D9-D11</f>
        <v>111692</v>
      </c>
      <c r="F8" s="255">
        <f>'DOE25'!J204+'DOE25'!J222+'DOE25'!J240</f>
        <v>1803</v>
      </c>
      <c r="G8" s="53">
        <f>'DOE25'!K204+'DOE25'!K222+'DOE25'!K240</f>
        <v>5007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144453</v>
      </c>
      <c r="D9" s="244">
        <v>144453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11050</v>
      </c>
      <c r="D10" s="243"/>
      <c r="E10" s="244">
        <v>11050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91757</v>
      </c>
      <c r="D11" s="244">
        <f>88257+3500</f>
        <v>91757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254831</v>
      </c>
      <c r="D12" s="20">
        <f>'DOE25'!L205+'DOE25'!L223+'DOE25'!L241-F12-G12</f>
        <v>251036</v>
      </c>
      <c r="E12" s="243"/>
      <c r="F12" s="255">
        <f>'DOE25'!J205+'DOE25'!J223+'DOE25'!J241</f>
        <v>3295</v>
      </c>
      <c r="G12" s="53">
        <f>'DOE25'!K205+'DOE25'!K223+'DOE25'!K241</f>
        <v>500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389284</v>
      </c>
      <c r="D14" s="20">
        <f>'DOE25'!L207+'DOE25'!L225+'DOE25'!L243-F14-G14</f>
        <v>383591</v>
      </c>
      <c r="E14" s="243"/>
      <c r="F14" s="255">
        <f>'DOE25'!J207+'DOE25'!J225+'DOE25'!J243</f>
        <v>5693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155693</v>
      </c>
      <c r="D15" s="20">
        <f>'DOE25'!L208+'DOE25'!L226+'DOE25'!L244-F15-G15</f>
        <v>155693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646692</v>
      </c>
      <c r="D25" s="243"/>
      <c r="E25" s="243"/>
      <c r="F25" s="258"/>
      <c r="G25" s="256"/>
      <c r="H25" s="257">
        <f>'DOE25'!L260+'DOE25'!L261+'DOE25'!L341+'DOE25'!L342</f>
        <v>646692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62347</v>
      </c>
      <c r="D29" s="20">
        <f>'DOE25'!L358+'DOE25'!L359+'DOE25'!L360-'DOE25'!I367-F29-G29</f>
        <v>60117</v>
      </c>
      <c r="E29" s="243"/>
      <c r="F29" s="255">
        <f>'DOE25'!J358+'DOE25'!J359+'DOE25'!J360</f>
        <v>2230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72987</v>
      </c>
      <c r="D31" s="20">
        <f>'DOE25'!L290+'DOE25'!L309+'DOE25'!L328+'DOE25'!L333+'DOE25'!L334+'DOE25'!L335-F31-G31</f>
        <v>58116</v>
      </c>
      <c r="E31" s="243"/>
      <c r="F31" s="255">
        <f>'DOE25'!J290+'DOE25'!J309+'DOE25'!J328+'DOE25'!J333+'DOE25'!J334+'DOE25'!J335</f>
        <v>14871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7026878</v>
      </c>
      <c r="E33" s="246">
        <f>SUM(E5:E31)</f>
        <v>122742</v>
      </c>
      <c r="F33" s="246">
        <f>SUM(F5:F31)</f>
        <v>85404</v>
      </c>
      <c r="G33" s="246">
        <f>SUM(G5:G31)</f>
        <v>5642</v>
      </c>
      <c r="H33" s="246">
        <f>SUM(H5:H31)</f>
        <v>646692</v>
      </c>
    </row>
    <row r="35" spans="2:8" ht="12" thickBot="1" x14ac:dyDescent="0.25">
      <c r="B35" s="253" t="s">
        <v>847</v>
      </c>
      <c r="D35" s="254">
        <f>E33</f>
        <v>122742</v>
      </c>
      <c r="E35" s="249"/>
    </row>
    <row r="36" spans="2:8" ht="12" thickTop="1" x14ac:dyDescent="0.2">
      <c r="B36" t="s">
        <v>815</v>
      </c>
      <c r="D36" s="20">
        <f>D33</f>
        <v>7026878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Grantham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331394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486542.62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5506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1381</v>
      </c>
      <c r="E12" s="95">
        <f>'DOE25'!H13</f>
        <v>17051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331394</v>
      </c>
      <c r="D18" s="41">
        <f>SUM(D8:D17)</f>
        <v>6992</v>
      </c>
      <c r="E18" s="41">
        <f>SUM(E8:E17)</f>
        <v>17051</v>
      </c>
      <c r="F18" s="41">
        <f>SUM(F8:F17)</f>
        <v>0</v>
      </c>
      <c r="G18" s="41">
        <f>SUM(G8:G17)</f>
        <v>486542.62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-3567</v>
      </c>
      <c r="D21" s="95">
        <f>'DOE25'!G22</f>
        <v>0</v>
      </c>
      <c r="E21" s="95">
        <f>'DOE25'!H22</f>
        <v>9074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5290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7544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4150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13417</v>
      </c>
      <c r="D31" s="41">
        <f>SUM(D21:D30)</f>
        <v>0</v>
      </c>
      <c r="E31" s="41">
        <f>SUM(E21:E30)</f>
        <v>9074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6992</v>
      </c>
      <c r="E47" s="95">
        <f>'DOE25'!H48</f>
        <v>7977</v>
      </c>
      <c r="F47" s="95">
        <f>'DOE25'!I48</f>
        <v>0</v>
      </c>
      <c r="G47" s="95">
        <f>'DOE25'!J48</f>
        <v>486542.62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9756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308221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317977</v>
      </c>
      <c r="D50" s="41">
        <f>SUM(D34:D49)</f>
        <v>6992</v>
      </c>
      <c r="E50" s="41">
        <f>SUM(E34:E49)</f>
        <v>7977</v>
      </c>
      <c r="F50" s="41">
        <f>SUM(F34:F49)</f>
        <v>0</v>
      </c>
      <c r="G50" s="41">
        <f>SUM(G34:G49)</f>
        <v>486542.62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331394</v>
      </c>
      <c r="D51" s="41">
        <f>D50+D31</f>
        <v>6992</v>
      </c>
      <c r="E51" s="41">
        <f>E50+E31</f>
        <v>17051</v>
      </c>
      <c r="F51" s="41">
        <f>F50+F31</f>
        <v>0</v>
      </c>
      <c r="G51" s="41">
        <f>G50+G31</f>
        <v>486542.62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6296416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3266.8399999999924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74020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111978</v>
      </c>
      <c r="D61" s="95">
        <f>SUM('DOE25'!G98:G110)</f>
        <v>0</v>
      </c>
      <c r="E61" s="95">
        <f>SUM('DOE25'!H98:H110)</f>
        <v>859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114177</v>
      </c>
      <c r="D62" s="130">
        <f>SUM(D57:D61)</f>
        <v>74020</v>
      </c>
      <c r="E62" s="130">
        <f>SUM(E57:E61)</f>
        <v>859</v>
      </c>
      <c r="F62" s="130">
        <f>SUM(F57:F61)</f>
        <v>0</v>
      </c>
      <c r="G62" s="130">
        <f>SUM(G57:G61)</f>
        <v>3266.8399999999924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6410593</v>
      </c>
      <c r="D63" s="22">
        <f>D56+D62</f>
        <v>74020</v>
      </c>
      <c r="E63" s="22">
        <f>E56+E62</f>
        <v>859</v>
      </c>
      <c r="F63" s="22">
        <f>F56+F62</f>
        <v>0</v>
      </c>
      <c r="G63" s="22">
        <f>G56+G62</f>
        <v>3266.8399999999924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12717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1232228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1244945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107513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18538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882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126051</v>
      </c>
      <c r="D78" s="130">
        <f>SUM(D72:D77)</f>
        <v>882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1370996</v>
      </c>
      <c r="D81" s="130">
        <f>SUM(D79:D80)+D78+D70</f>
        <v>882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30355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5272</v>
      </c>
      <c r="D88" s="95">
        <f>SUM('DOE25'!G153:G161)</f>
        <v>17400</v>
      </c>
      <c r="E88" s="95">
        <f>SUM('DOE25'!H153:H161)</f>
        <v>51604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5272</v>
      </c>
      <c r="D91" s="131">
        <f>SUM(D85:D90)</f>
        <v>17400</v>
      </c>
      <c r="E91" s="131">
        <f>SUM(E85:E90)</f>
        <v>81959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5000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7786861</v>
      </c>
      <c r="D104" s="86">
        <f>D63+D81+D91+D103</f>
        <v>97302</v>
      </c>
      <c r="E104" s="86">
        <f>E63+E81+E91+E103</f>
        <v>82818</v>
      </c>
      <c r="F104" s="86">
        <f>F63+F81+F91+F103</f>
        <v>0</v>
      </c>
      <c r="G104" s="86">
        <f>G63+G81+G103</f>
        <v>3266.8399999999924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4737442</v>
      </c>
      <c r="D109" s="24" t="s">
        <v>289</v>
      </c>
      <c r="E109" s="95">
        <f>('DOE25'!L276)+('DOE25'!L295)+('DOE25'!L314)</f>
        <v>12640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731920</v>
      </c>
      <c r="D110" s="24" t="s">
        <v>289</v>
      </c>
      <c r="E110" s="95">
        <f>('DOE25'!L277)+('DOE25'!L296)+('DOE25'!L315)</f>
        <v>53491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5469362</v>
      </c>
      <c r="D115" s="86">
        <f>SUM(D109:D114)</f>
        <v>0</v>
      </c>
      <c r="E115" s="86">
        <f>SUM(E109:E114)</f>
        <v>66131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268443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201957</v>
      </c>
      <c r="D119" s="24" t="s">
        <v>289</v>
      </c>
      <c r="E119" s="95">
        <f>+('DOE25'!L282)+('DOE25'!L301)+('DOE25'!L320)</f>
        <v>6856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354712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254831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389284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155693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96561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1624920</v>
      </c>
      <c r="D128" s="86">
        <f>SUM(D118:D127)</f>
        <v>96561</v>
      </c>
      <c r="E128" s="86">
        <f>SUM(E118:E127)</f>
        <v>6856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355000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291692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730.64999999999418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2536.1899999999982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-3266.8399999999924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651692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7745974</v>
      </c>
      <c r="D145" s="86">
        <f>(D115+D128+D144)</f>
        <v>96561</v>
      </c>
      <c r="E145" s="86">
        <f>(E115+E128+E144)</f>
        <v>72987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12/08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1/29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7150000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5.0999999999999996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5675000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5675000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355000</v>
      </c>
    </row>
    <row r="159" spans="1:9" x14ac:dyDescent="0.2">
      <c r="A159" s="22" t="s">
        <v>35</v>
      </c>
      <c r="B159" s="137">
        <f>'DOE25'!F498</f>
        <v>5320000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5320000</v>
      </c>
    </row>
    <row r="160" spans="1:9" x14ac:dyDescent="0.2">
      <c r="A160" s="22" t="s">
        <v>36</v>
      </c>
      <c r="B160" s="137">
        <f>'DOE25'!F499</f>
        <v>2586357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2586357</v>
      </c>
    </row>
    <row r="161" spans="1:7" x14ac:dyDescent="0.2">
      <c r="A161" s="22" t="s">
        <v>37</v>
      </c>
      <c r="B161" s="137">
        <f>'DOE25'!F500</f>
        <v>7906357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7906357</v>
      </c>
    </row>
    <row r="162" spans="1:7" x14ac:dyDescent="0.2">
      <c r="A162" s="22" t="s">
        <v>38</v>
      </c>
      <c r="B162" s="137">
        <f>'DOE25'!F501</f>
        <v>355000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355000</v>
      </c>
    </row>
    <row r="163" spans="1:7" x14ac:dyDescent="0.2">
      <c r="A163" s="22" t="s">
        <v>39</v>
      </c>
      <c r="B163" s="137">
        <f>'DOE25'!F502</f>
        <v>275719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275719</v>
      </c>
    </row>
    <row r="164" spans="1:7" x14ac:dyDescent="0.2">
      <c r="A164" s="22" t="s">
        <v>246</v>
      </c>
      <c r="B164" s="137">
        <f>'DOE25'!F503</f>
        <v>630719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630719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Grantham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15743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15743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4750082</v>
      </c>
      <c r="D10" s="182">
        <f>ROUND((C10/$C$28)*100,1)</f>
        <v>63.5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785411</v>
      </c>
      <c r="D11" s="182">
        <f>ROUND((C11/$C$28)*100,1)</f>
        <v>10.5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268443</v>
      </c>
      <c r="D15" s="182">
        <f t="shared" ref="D15:D27" si="0">ROUND((C15/$C$28)*100,1)</f>
        <v>3.6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208813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354712</v>
      </c>
      <c r="D17" s="182">
        <f t="shared" si="0"/>
        <v>4.7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254831</v>
      </c>
      <c r="D18" s="182">
        <f t="shared" si="0"/>
        <v>3.4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389284</v>
      </c>
      <c r="D20" s="182">
        <f t="shared" si="0"/>
        <v>5.2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155693</v>
      </c>
      <c r="D21" s="182">
        <f t="shared" si="0"/>
        <v>2.1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291692</v>
      </c>
      <c r="D25" s="182">
        <f t="shared" si="0"/>
        <v>3.9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22541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7481502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7481502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355000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6296416</v>
      </c>
      <c r="D35" s="182">
        <f t="shared" ref="D35:D40" si="1">ROUND((C35/$C$41)*100,1)</f>
        <v>79.8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118302.83999999985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1244945</v>
      </c>
      <c r="D37" s="182">
        <f t="shared" si="1"/>
        <v>15.8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126933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104631</v>
      </c>
      <c r="D39" s="182">
        <f t="shared" si="1"/>
        <v>1.3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7891227.8399999999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97" t="str">
        <f>'DOE25'!A2</f>
        <v>Grantham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P40:Z40"/>
    <mergeCell ref="HC39:HM39"/>
    <mergeCell ref="DC39:DM39"/>
    <mergeCell ref="DP39:DZ39"/>
    <mergeCell ref="EC39:EM39"/>
    <mergeCell ref="GC39:GM39"/>
    <mergeCell ref="AP40:AZ40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P39:Z39"/>
    <mergeCell ref="AC39:AM39"/>
    <mergeCell ref="AP39:AZ39"/>
    <mergeCell ref="HP39:HZ39"/>
    <mergeCell ref="DC40:DM40"/>
    <mergeCell ref="EP40:EZ40"/>
    <mergeCell ref="HC32:HM32"/>
    <mergeCell ref="EP32:EZ32"/>
    <mergeCell ref="HP32:HZ32"/>
    <mergeCell ref="GC40:GM40"/>
    <mergeCell ref="GP40:GZ40"/>
    <mergeCell ref="HC40:HM40"/>
    <mergeCell ref="HP40:HZ40"/>
    <mergeCell ref="EC40:EM40"/>
    <mergeCell ref="DP40:DZ40"/>
    <mergeCell ref="IP39:IV39"/>
    <mergeCell ref="EP39:EZ39"/>
    <mergeCell ref="FC39:FM39"/>
    <mergeCell ref="FP39:FZ39"/>
    <mergeCell ref="GP39:GZ39"/>
    <mergeCell ref="HP38:HZ38"/>
    <mergeCell ref="IC38:IM38"/>
    <mergeCell ref="IP38:IV38"/>
    <mergeCell ref="IC39:IM39"/>
    <mergeCell ref="EP38:EZ38"/>
    <mergeCell ref="FC38:FM38"/>
    <mergeCell ref="FP38:FZ38"/>
    <mergeCell ref="GC38:GM38"/>
    <mergeCell ref="GP38:GZ38"/>
    <mergeCell ref="HC38:HM38"/>
    <mergeCell ref="BC32:BM32"/>
    <mergeCell ref="BC39:BM39"/>
    <mergeCell ref="BP31:BZ31"/>
    <mergeCell ref="CC31:CM31"/>
    <mergeCell ref="AC32:AM32"/>
    <mergeCell ref="AP32:AZ32"/>
    <mergeCell ref="BP32:BZ32"/>
    <mergeCell ref="AC40:AM40"/>
    <mergeCell ref="GC32:GM32"/>
    <mergeCell ref="EC32:EM32"/>
    <mergeCell ref="FC32:FM32"/>
    <mergeCell ref="BC40:BM40"/>
    <mergeCell ref="CP38:CZ38"/>
    <mergeCell ref="BC38:BM38"/>
    <mergeCell ref="IP29:IV29"/>
    <mergeCell ref="C42:M42"/>
    <mergeCell ref="P30:Z30"/>
    <mergeCell ref="AC30:AM30"/>
    <mergeCell ref="AP30:AZ30"/>
    <mergeCell ref="C41:M41"/>
    <mergeCell ref="C33:M33"/>
    <mergeCell ref="HP29:HZ29"/>
    <mergeCell ref="IC29:IM29"/>
    <mergeCell ref="FP29:FZ29"/>
    <mergeCell ref="GC29:GM29"/>
    <mergeCell ref="GP29:GZ29"/>
    <mergeCell ref="HC29:HM29"/>
    <mergeCell ref="HP31:HZ31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GC31:GM31"/>
    <mergeCell ref="GP30:GZ30"/>
    <mergeCell ref="IC31:IM31"/>
    <mergeCell ref="IP31:IV31"/>
    <mergeCell ref="CP32:CZ32"/>
    <mergeCell ref="CP30:CZ30"/>
    <mergeCell ref="CC30:CM30"/>
    <mergeCell ref="BC30:BM30"/>
    <mergeCell ref="BP30:BZ30"/>
    <mergeCell ref="IC30:IM30"/>
    <mergeCell ref="HP30:HZ30"/>
    <mergeCell ref="FC30:FM30"/>
    <mergeCell ref="GP31:GZ31"/>
    <mergeCell ref="HC31:HM31"/>
    <mergeCell ref="IP30:IV30"/>
    <mergeCell ref="FP30:FZ30"/>
    <mergeCell ref="FC31:FM31"/>
    <mergeCell ref="FP31:FZ31"/>
    <mergeCell ref="CP31:CZ31"/>
    <mergeCell ref="FP32:FZ32"/>
    <mergeCell ref="EC30:EM30"/>
    <mergeCell ref="EP30:EZ30"/>
    <mergeCell ref="IC32:IM32"/>
    <mergeCell ref="IP32:IV32"/>
    <mergeCell ref="BC31:BM31"/>
    <mergeCell ref="C14:M14"/>
    <mergeCell ref="EC29:EM29"/>
    <mergeCell ref="EP29:EZ29"/>
    <mergeCell ref="FC29:FM29"/>
    <mergeCell ref="CP29:CZ29"/>
    <mergeCell ref="DP29:DZ29"/>
    <mergeCell ref="DC29:DM29"/>
    <mergeCell ref="C37:M37"/>
    <mergeCell ref="GC30:GM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BC29:BM29"/>
    <mergeCell ref="BP29:BZ29"/>
    <mergeCell ref="CC29:CM29"/>
    <mergeCell ref="P29:Z29"/>
    <mergeCell ref="AC29:AM29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8:M28"/>
    <mergeCell ref="C21:M21"/>
    <mergeCell ref="C22:M22"/>
    <mergeCell ref="C23:M23"/>
    <mergeCell ref="C24:M24"/>
    <mergeCell ref="C29:M29"/>
    <mergeCell ref="C25:M25"/>
    <mergeCell ref="C26:M26"/>
    <mergeCell ref="C27:M27"/>
    <mergeCell ref="C20:M20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39:M39"/>
    <mergeCell ref="C40:M40"/>
    <mergeCell ref="C46:M46"/>
    <mergeCell ref="C44:M44"/>
    <mergeCell ref="C43:M43"/>
    <mergeCell ref="C80:M80"/>
    <mergeCell ref="C81:M81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76:M76"/>
    <mergeCell ref="C66:M66"/>
    <mergeCell ref="C70:M70"/>
    <mergeCell ref="A72:E72"/>
    <mergeCell ref="C73:M73"/>
    <mergeCell ref="C74:M74"/>
    <mergeCell ref="C77:M77"/>
    <mergeCell ref="C78:M78"/>
    <mergeCell ref="C79:M79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61:M61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2014-08-18T16:00:56Z</cp:lastPrinted>
  <dcterms:created xsi:type="dcterms:W3CDTF">1997-12-04T19:04:30Z</dcterms:created>
  <dcterms:modified xsi:type="dcterms:W3CDTF">2014-10-14T18:59:16Z</dcterms:modified>
</cp:coreProperties>
</file>