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E8" i="13" s="1"/>
  <c r="C8" i="13" s="1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62" i="1" s="1"/>
  <c r="I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90" i="1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9" i="10"/>
  <c r="L250" i="1"/>
  <c r="L332" i="1"/>
  <c r="L254" i="1"/>
  <c r="L268" i="1"/>
  <c r="L269" i="1"/>
  <c r="L349" i="1"/>
  <c r="L350" i="1"/>
  <c r="I665" i="1"/>
  <c r="I670" i="1"/>
  <c r="L229" i="1"/>
  <c r="F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28" i="2" s="1"/>
  <c r="C119" i="2"/>
  <c r="E119" i="2"/>
  <c r="E120" i="2"/>
  <c r="E121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G643" i="1"/>
  <c r="H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G164" i="2"/>
  <c r="C18" i="2"/>
  <c r="C26" i="10"/>
  <c r="L328" i="1"/>
  <c r="L351" i="1"/>
  <c r="A31" i="12"/>
  <c r="D62" i="2"/>
  <c r="D63" i="2" s="1"/>
  <c r="D18" i="13"/>
  <c r="C18" i="13" s="1"/>
  <c r="D18" i="2"/>
  <c r="D17" i="13"/>
  <c r="C17" i="13" s="1"/>
  <c r="D6" i="13"/>
  <c r="C6" i="13" s="1"/>
  <c r="C91" i="2"/>
  <c r="C78" i="2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I476" i="1"/>
  <c r="H625" i="1" s="1"/>
  <c r="J625" i="1" s="1"/>
  <c r="G338" i="1"/>
  <c r="G352" i="1" s="1"/>
  <c r="F169" i="1"/>
  <c r="J140" i="1"/>
  <c r="I552" i="1"/>
  <c r="K549" i="1"/>
  <c r="G22" i="2"/>
  <c r="K545" i="1"/>
  <c r="J552" i="1"/>
  <c r="C29" i="10"/>
  <c r="H140" i="1"/>
  <c r="L393" i="1"/>
  <c r="F22" i="13"/>
  <c r="C22" i="13" s="1"/>
  <c r="H25" i="13"/>
  <c r="C25" i="13" s="1"/>
  <c r="J634" i="1"/>
  <c r="H571" i="1"/>
  <c r="L560" i="1"/>
  <c r="J545" i="1"/>
  <c r="H338" i="1"/>
  <c r="H352" i="1" s="1"/>
  <c r="G192" i="1"/>
  <c r="H192" i="1"/>
  <c r="C35" i="10"/>
  <c r="L309" i="1"/>
  <c r="J655" i="1"/>
  <c r="I571" i="1"/>
  <c r="J636" i="1"/>
  <c r="G36" i="2"/>
  <c r="C138" i="2"/>
  <c r="J476" i="1" l="1"/>
  <c r="H626" i="1" s="1"/>
  <c r="I460" i="1"/>
  <c r="I461" i="1" s="1"/>
  <c r="H642" i="1" s="1"/>
  <c r="L401" i="1"/>
  <c r="C139" i="2" s="1"/>
  <c r="J644" i="1"/>
  <c r="G645" i="1"/>
  <c r="J645" i="1" s="1"/>
  <c r="J649" i="1"/>
  <c r="K598" i="1"/>
  <c r="G647" i="1" s="1"/>
  <c r="J647" i="1" s="1"/>
  <c r="J651" i="1"/>
  <c r="F571" i="1"/>
  <c r="K551" i="1"/>
  <c r="I545" i="1"/>
  <c r="L534" i="1"/>
  <c r="H552" i="1"/>
  <c r="H545" i="1"/>
  <c r="G545" i="1"/>
  <c r="L524" i="1"/>
  <c r="E115" i="2"/>
  <c r="D12" i="13"/>
  <c r="C12" i="13" s="1"/>
  <c r="D31" i="2"/>
  <c r="K552" i="1"/>
  <c r="K503" i="1"/>
  <c r="G476" i="1"/>
  <c r="H623" i="1" s="1"/>
  <c r="J623" i="1" s="1"/>
  <c r="D127" i="2"/>
  <c r="D128" i="2" s="1"/>
  <c r="D145" i="2" s="1"/>
  <c r="H661" i="1"/>
  <c r="I661" i="1" s="1"/>
  <c r="L362" i="1"/>
  <c r="C16" i="10"/>
  <c r="C132" i="2"/>
  <c r="H33" i="13"/>
  <c r="K271" i="1"/>
  <c r="D15" i="13"/>
  <c r="C15" i="13" s="1"/>
  <c r="C124" i="2"/>
  <c r="C21" i="10"/>
  <c r="I257" i="1"/>
  <c r="I271" i="1" s="1"/>
  <c r="G257" i="1"/>
  <c r="G271" i="1" s="1"/>
  <c r="F257" i="1"/>
  <c r="F271" i="1" s="1"/>
  <c r="C110" i="2"/>
  <c r="L247" i="1"/>
  <c r="H660" i="1" s="1"/>
  <c r="H257" i="1"/>
  <c r="H271" i="1" s="1"/>
  <c r="C10" i="10"/>
  <c r="E16" i="13"/>
  <c r="C16" i="13" s="1"/>
  <c r="C17" i="10"/>
  <c r="C20" i="10"/>
  <c r="C121" i="2"/>
  <c r="C18" i="10"/>
  <c r="C120" i="2"/>
  <c r="E33" i="13"/>
  <c r="D35" i="13" s="1"/>
  <c r="D7" i="13"/>
  <c r="C7" i="13" s="1"/>
  <c r="D5" i="13"/>
  <c r="C5" i="13" s="1"/>
  <c r="C109" i="2"/>
  <c r="C115" i="2" s="1"/>
  <c r="L211" i="1"/>
  <c r="F660" i="1" s="1"/>
  <c r="C81" i="2"/>
  <c r="C62" i="2"/>
  <c r="C63" i="2"/>
  <c r="J624" i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H646" i="1" l="1"/>
  <c r="J646" i="1" s="1"/>
  <c r="L545" i="1"/>
  <c r="F33" i="13"/>
  <c r="H664" i="1"/>
  <c r="H672" i="1" s="1"/>
  <c r="C6" i="10" s="1"/>
  <c r="C128" i="2"/>
  <c r="C145" i="2" s="1"/>
  <c r="C28" i="10"/>
  <c r="D23" i="10" s="1"/>
  <c r="L257" i="1"/>
  <c r="L271" i="1" s="1"/>
  <c r="G632" i="1" s="1"/>
  <c r="J632" i="1" s="1"/>
  <c r="F664" i="1"/>
  <c r="I660" i="1"/>
  <c r="I664" i="1" s="1"/>
  <c r="I672" i="1" s="1"/>
  <c r="C7" i="10" s="1"/>
  <c r="C104" i="2"/>
  <c r="G672" i="1"/>
  <c r="C5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67" i="1" l="1"/>
  <c r="D27" i="10"/>
  <c r="D18" i="10"/>
  <c r="D11" i="10"/>
  <c r="D25" i="10"/>
  <c r="D20" i="10"/>
  <c r="D21" i="10"/>
  <c r="D15" i="10"/>
  <c r="D12" i="10"/>
  <c r="D13" i="10"/>
  <c r="D17" i="10"/>
  <c r="D19" i="10"/>
  <c r="D22" i="10"/>
  <c r="D24" i="10"/>
  <c r="D10" i="10"/>
  <c r="D26" i="10"/>
  <c r="C30" i="10"/>
  <c r="D16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<sst xmlns="http://schemas.openxmlformats.org/spreadsheetml/2006/main" count="3959" uniqueCount="916">
  <si>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</si>
  <si>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</si>
  <si>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</si>
  <si>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</si>
  <si>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</si>
  <si>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</si>
  <si>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</si>
  <si>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</si>
  <si>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</si>
  <si>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</si>
  <si>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</si>
  <si>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</si>
  <si>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</si>
  <si>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</si>
  <si>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</si>
  <si>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</si>
  <si>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</si>
  <si>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</si>
  <si>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</si>
  <si>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</si>
  <si>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</si>
  <si>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</si>
  <si>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</si>
  <si>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</si>
  <si>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</si>
  <si>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</si>
  <si>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</si>
  <si>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</si>
  <si>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</si>
  <si>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</si>
  <si>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</si>
  <si>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</si>
  <si>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</si>
  <si>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</si>
  <si>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</si>
  <si>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</si>
  <si>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</si>
  <si>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</si>
  <si>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</si>
  <si>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</si>
  <si>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</si>
  <si>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</si>
  <si>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</si>
  <si>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</si>
  <si>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</si>
  <si>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</si>
  <si>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</si>
  <si>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</si>
  <si>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</si>
  <si>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</si>
  <si>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</si>
  <si>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</si>
  <si>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</si>
  <si>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</si>
  <si>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</si>
  <si>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</si>
  <si>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</si>
  <si>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</si>
  <si>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</si>
  <si>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</si>
  <si>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</si>
  <si>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</si>
  <si>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</si>
  <si>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</si>
  <si>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</si>
  <si>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</si>
  <si>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</si>
  <si>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</si>
  <si>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</si>
  <si>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</si>
  <si>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</si>
  <si>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</si>
  <si>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</si>
  <si>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</si>
  <si>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</si>
  <si>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</si>
  <si>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</si>
  <si>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</si>
  <si>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</si>
  <si>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</si>
  <si>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</si>
  <si>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</si>
  <si>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</si>
  <si>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</si>
  <si>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</si>
  <si>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</si>
  <si>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</si>
  <si>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</si>
  <si>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</si>
  <si>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</si>
  <si>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</si>
  <si>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</si>
  <si>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</si>
  <si>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</si>
  <si>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</si>
  <si>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</si>
  <si>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</si>
  <si>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</si>
  <si>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</si>
  <si>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</si>
  <si>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</si>
  <si>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</si>
  <si>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</si>
  <si>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</si>
  <si>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</si>
  <si>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</si>
  <si>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</si>
  <si>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</si>
  <si>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</si>
  <si>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</si>
  <si>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</si>
  <si>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</si>
  <si>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</si>
  <si>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</si>
  <si>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</si>
  <si>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</si>
  <si>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</si>
  <si>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</si>
  <si>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</si>
  <si>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</si>
  <si>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</si>
  <si>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</si>
  <si>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</si>
  <si>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</si>
  <si>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</si>
  <si>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</si>
  <si>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</si>
  <si>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</si>
  <si>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</si>
  <si>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</si>
  <si>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</si>
  <si>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</si>
  <si>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</si>
  <si>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</si>
  <si>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</si>
  <si>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</si>
  <si>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</si>
  <si>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</si>
  <si>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</si>
  <si>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</si>
  <si>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</si>
  <si>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</si>
  <si>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</si>
  <si>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</si>
  <si>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</si>
  <si>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</si>
  <si>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</si>
  <si>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</si>
  <si>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</si>
  <si>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</si>
  <si>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</si>
  <si>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</si>
  <si>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</si>
  <si>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</si>
  <si>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</si>
  <si>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</si>
  <si>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</si>
  <si>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</si>
  <si>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</si>
  <si>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</si>
  <si>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</si>
  <si>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</si>
  <si>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</si>
  <si>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</si>
  <si>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</si>
  <si>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</si>
  <si>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</si>
  <si>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</si>
  <si>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</si>
  <si>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</si>
  <si>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</si>
  <si>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</si>
  <si>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</si>
  <si>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</si>
  <si>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</si>
  <si>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</si>
  <si>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</si>
  <si>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</si>
  <si>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</si>
  <si>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</si>
  <si>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</si>
  <si>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</si>
  <si>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</si>
  <si>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</si>
  <si>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</si>
  <si>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</si>
  <si>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</si>
  <si>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</si>
  <si>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</si>
  <si>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</si>
  <si>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</si>
  <si>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</si>
  <si>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</si>
  <si>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</si>
  <si>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</si>
  <si>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</si>
  <si>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</si>
  <si>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</si>
  <si>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</si>
  <si>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</si>
  <si>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</si>
  <si>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</si>
  <si>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</si>
  <si>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</si>
  <si>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</si>
  <si>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</si>
  <si>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</si>
  <si>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</si>
  <si>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</si>
  <si>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</si>
  <si>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</si>
  <si>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</si>
  <si>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</si>
  <si>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</si>
  <si>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</si>
  <si>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</si>
  <si>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</si>
  <si>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</si>
  <si>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</si>
  <si>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</si>
  <si>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</si>
  <si>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</si>
  <si>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</si>
  <si>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</si>
  <si>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</si>
  <si>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</si>
  <si>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</si>
  <si>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</si>
  <si>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</si>
  <si>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</si>
  <si>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</si>
  <si>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</si>
  <si>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</si>
  <si>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</si>
  <si>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</si>
  <si>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</si>
  <si>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</si>
  <si>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</si>
  <si>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</si>
  <si>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</si>
  <si>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</si>
  <si>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</si>
  <si>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</si>
  <si>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</si>
  <si>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</si>
  <si>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</si>
  <si>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</si>
  <si>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</si>
  <si>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</si>
  <si>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</si>
  <si>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</si>
  <si>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</si>
  <si>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</si>
  <si>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</si>
  <si>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</si>
  <si>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</si>
  <si>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</si>
  <si>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</si>
  <si>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</si>
  <si>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</si>
  <si>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</si>
  <si>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</si>
  <si>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</si>
  <si>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</si>
  <si>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</si>
  <si>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</si>
  <si>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</si>
  <si>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</si>
  <si>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</si>
  <si>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</si>
  <si>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</si>
  <si>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</si>
  <si>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</si>
  <si>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</si>
  <si>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</si>
  <si>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</si>
  <si>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</si>
  <si>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</si>
  <si>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</si>
  <si>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</si>
  <si>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</si>
  <si>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</si>
  <si>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</si>
  <si>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</si>
  <si>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</si>
  <si>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</si>
  <si>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</si>
  <si>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</si>
  <si>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</si>
  <si>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</si>
  <si>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</si>
  <si>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</si>
  <si>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</si>
  <si>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</si>
  <si>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</si>
  <si>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</si>
  <si>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</si>
  <si>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</si>
  <si>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</si>
  <si>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</si>
  <si>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</si>
  <si>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</si>
  <si>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</si>
  <si>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</si>
  <si>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</si>
  <si>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</si>
  <si>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</si>
  <si>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</si>
  <si>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</si>
  <si>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</si>
  <si>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</si>
  <si>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</si>
  <si>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</si>
  <si>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</si>
  <si>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</si>
  <si>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</si>
  <si>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</si>
  <si>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</si>
  <si>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</si>
  <si>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</si>
  <si>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</si>
  <si>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</si>
  <si>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</si>
  <si>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</si>
  <si>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</si>
  <si>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</si>
  <si>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</si>
  <si>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</si>
  <si>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</si>
  <si>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</si>
  <si>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</si>
  <si>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</si>
  <si>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</si>
  <si>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</si>
  <si>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</si>
  <si>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</si>
  <si>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</si>
  <si>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</si>
  <si>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</si>
  <si>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</si>
  <si>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</si>
  <si>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</si>
  <si>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</si>
  <si>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</si>
  <si>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</si>
  <si>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</si>
  <si>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</si>
  <si>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</si>
  <si>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</si>
  <si>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</si>
  <si>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</si>
  <si>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</si>
  <si>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</si>
  <si>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</si>
  <si>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</si>
  <si>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</si>
  <si>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</si>
  <si>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</si>
  <si>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</si>
  <si>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</si>
  <si>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</si>
  <si>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</si>
  <si>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</si>
  <si>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</si>
  <si>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</si>
  <si>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</si>
  <si>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</si>
  <si>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</si>
  <si>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</si>
  <si>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</si>
  <si>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</si>
  <si>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</si>
  <si>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</si>
  <si>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</si>
  <si>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</si>
  <si>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</si>
  <si>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</si>
  <si>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</si>
  <si>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</si>
  <si>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</si>
  <si>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</si>
  <si>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</si>
  <si>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</si>
  <si>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</si>
  <si>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</si>
  <si>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</si>
  <si>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</si>
  <si>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</si>
  <si>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</si>
  <si>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</si>
  <si>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</si>
  <si>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</si>
  <si>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</si>
  <si>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</si>
  <si>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</si>
  <si>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</si>
  <si>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</si>
  <si>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</si>
  <si>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</si>
  <si>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</si>
  <si>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</si>
  <si>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</si>
  <si>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</si>
  <si>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</si>
  <si>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</si>
  <si>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</si>
  <si>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</si>
  <si>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</si>
  <si>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</si>
  <si>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</si>
  <si>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</si>
  <si>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</si>
  <si>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</si>
  <si>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</si>
  <si>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</si>
  <si>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</si>
  <si>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</si>
  <si>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</si>
  <si>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</si>
  <si>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</si>
  <si>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</si>
  <si>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</si>
  <si>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</si>
  <si>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</si>
  <si>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</si>
  <si>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</si>
  <si>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</si>
  <si>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</si>
  <si>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</si>
  <si>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</si>
  <si>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</si>
  <si>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</si>
  <si>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</si>
  <si>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</si>
  <si>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</si>
  <si>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</si>
  <si>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</si>
  <si>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</si>
  <si>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</si>
  <si>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</si>
  <si>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</si>
  <si>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</si>
  <si>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</si>
  <si>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</si>
  <si>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</si>
  <si>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</si>
  <si>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</si>
  <si>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</si>
  <si>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</si>
  <si>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</si>
  <si>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</si>
  <si>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</si>
  <si>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</si>
  <si>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</si>
  <si>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</si>
  <si>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</si>
  <si>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</si>
  <si>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</si>
  <si>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</si>
  <si>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</si>
  <si>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</si>
  <si>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</si>
  <si>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</si>
  <si>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</si>
  <si>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</si>
  <si>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</si>
  <si>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</si>
  <si>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</si>
  <si>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</si>
  <si>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</si>
  <si>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</si>
  <si>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</si>
  <si>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</si>
  <si>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</si>
  <si>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</si>
  <si>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</si>
  <si>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</si>
  <si>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</si>
  <si>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</si>
  <si>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</si>
  <si>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</si>
  <si>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</si>
  <si>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</si>
  <si>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</si>
  <si>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</si>
  <si>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</si>
  <si>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</si>
  <si>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</si>
  <si>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</si>
  <si>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</si>
  <si>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</si>
  <si>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</si>
  <si>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</si>
  <si>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</si>
  <si>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</si>
  <si>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</si>
  <si>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</si>
  <si>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</si>
  <si>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</si>
  <si>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</si>
  <si>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</si>
  <si>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</si>
  <si>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</si>
  <si>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</si>
  <si>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</si>
  <si>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</si>
  <si>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</si>
  <si>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</si>
  <si>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</si>
  <si>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</si>
  <si>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</si>
  <si>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</si>
  <si>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</si>
  <si>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</si>
  <si>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</si>
  <si>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</si>
  <si>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</si>
  <si>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</si>
  <si>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</si>
  <si>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</si>
  <si>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</si>
  <si>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</si>
  <si>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</si>
  <si>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</si>
  <si>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</si>
  <si>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</si>
  <si>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</si>
  <si>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</si>
  <si>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</si>
  <si>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</si>
  <si>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</si>
  <si>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</si>
  <si>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</si>
  <si>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</si>
  <si>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</si>
  <si>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</si>
  <si>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</si>
  <si>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</si>
  <si>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</si>
  <si>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</si>
  <si>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</si>
  <si>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</si>
  <si>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</si>
  <si>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</si>
  <si>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</si>
  <si>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</si>
  <si>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</si>
  <si>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</si>
  <si>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</si>
  <si>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</si>
  <si>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</si>
  <si>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</si>
  <si>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</si>
  <si>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</si>
  <si>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</si>
  <si>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</si>
  <si>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</si>
  <si>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</si>
  <si>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</si>
  <si>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</si>
  <si>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</si>
  <si>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</si>
  <si>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</si>
  <si>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</si>
  <si>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</si>
  <si>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</si>
  <si>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</si>
  <si>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</si>
  <si>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</si>
  <si>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</si>
  <si>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</si>
  <si>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</si>
  <si>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</si>
  <si>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</si>
  <si>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</si>
  <si>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</si>
  <si>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</si>
  <si>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</si>
  <si>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</si>
  <si>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</si>
  <si>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</si>
  <si>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</si>
  <si>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</si>
  <si>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</si>
  <si>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</si>
  <si>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</si>
  <si>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</si>
  <si>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</si>
  <si>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</si>
  <si>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</si>
  <si>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</si>
  <si>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</si>
  <si>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</si>
  <si>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</si>
  <si>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</si>
  <si>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</si>
  <si>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</si>
  <si>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</si>
  <si>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</si>
  <si>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</si>
  <si>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</si>
  <si>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</si>
  <si>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</si>
  <si>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</si>
  <si>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</si>
  <si>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</si>
  <si>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</si>
  <si>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</si>
  <si>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</si>
  <si>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</si>
  <si>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</si>
  <si>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</si>
  <si>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</si>
  <si>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</si>
  <si>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</si>
  <si>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</si>
  <si>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</si>
  <si>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</si>
  <si>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</si>
  <si>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</si>
  <si>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</si>
  <si>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</si>
  <si>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</si>
  <si>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</si>
  <si>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</si>
  <si>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</si>
  <si>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</si>
  <si>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</si>
  <si>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</si>
  <si>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</si>
  <si>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</si>
  <si>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</si>
  <si>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</si>
  <si>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</si>
  <si>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</si>
  <si>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</si>
  <si>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</si>
  <si>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</si>
  <si>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</si>
  <si>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</si>
  <si>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</si>
  <si>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</si>
  <si>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</si>
  <si>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</si>
  <si>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</si>
  <si>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</si>
  <si>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</si>
  <si>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</si>
  <si>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</si>
  <si>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</si>
  <si>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</si>
  <si>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</si>
  <si>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</si>
  <si>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</si>
  <si>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</si>
  <si>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</si>
  <si>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</si>
  <si>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</si>
  <si>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</si>
  <si>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</si>
  <si>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</si>
  <si>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</si>
  <si>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</si>
  <si>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</si>
  <si>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</si>
  <si>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</si>
  <si>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</si>
  <si>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</si>
  <si>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</si>
  <si>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</si>
  <si>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</si>
  <si>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</si>
  <si>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</si>
  <si>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</si>
  <si>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</si>
  <si>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</si>
  <si>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</si>
  <si>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</si>
  <si>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</si>
  <si>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</si>
  <si>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</si>
  <si>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</si>
  <si>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</si>
  <si>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</si>
  <si>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</si>
  <si>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</si>
  <si>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</si>
  <si>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</si>
  <si>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</si>
  <si>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</si>
  <si>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</si>
  <si>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</si>
  <si>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</si>
  <si>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</si>
  <si>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</si>
  <si>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</si>
  <si>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</si>
  <si>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</si>
  <si>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</si>
  <si>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</si>
  <si>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</si>
  <si>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</si>
  <si>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</si>
  <si>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</si>
  <si>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</si>
  <si>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</si>
  <si>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</si>
  <si>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</si>
  <si>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</si>
  <si>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</si>
  <si>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</si>
  <si>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</si>
  <si>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</si>
  <si>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</si>
  <si>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</si>
  <si>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</si>
  <si>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</si>
  <si>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</si>
  <si>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</si>
  <si>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</si>
  <si>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</si>
  <si>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</si>
  <si>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</si>
  <si>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</si>
  <si>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</si>
  <si>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</si>
  <si>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</si>
  <si>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</si>
  <si>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</si>
  <si>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</si>
  <si>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</si>
  <si>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</si>
  <si>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</si>
  <si>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</si>
  <si>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</si>
  <si>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</si>
  <si>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</si>
  <si>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</si>
  <si>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</si>
  <si>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</si>
  <si>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</si>
  <si>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</si>
  <si>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</si>
  <si>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</si>
  <si>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</si>
  <si>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</si>
  <si>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</si>
  <si>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</si>
  <si>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</si>
  <si>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</si>
  <si>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</si>
  <si>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</si>
  <si>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</si>
  <si>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</si>
  <si>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</si>
  <si>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</si>
  <si>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</si>
  <si>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</si>
  <si>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</si>
  <si>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</si>
  <si>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</si>
  <si>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</si>
  <si>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</si>
  <si>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</si>
  <si>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</si>
  <si>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</si>
  <si>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</si>
  <si>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</si>
  <si>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</si>
  <si>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</si>
  <si>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</si>
  <si>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</si>
  <si>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</si>
  <si>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</si>
  <si>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</si>
  <si>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</si>
  <si>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</si>
  <si>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</si>
  <si>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</si>
  <si>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</si>
  <si>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</si>
  <si>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</si>
  <si>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</si>
  <si>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</si>
  <si>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</si>
  <si>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</si>
  <si>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</si>
  <si>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</si>
  <si>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</si>
  <si>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</si>
  <si>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</si>
  <si>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</si>
  <si>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</si>
  <si>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</si>
  <si>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</si>
  <si>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</si>
  <si>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</si>
  <si>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</si>
  <si>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</si>
  <si>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</si>
  <si>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</si>
  <si>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</si>
  <si>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</si>
  <si>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</si>
  <si>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</si>
  <si>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</si>
  <si>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</si>
  <si>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</si>
  <si>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</si>
  <si>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</si>
  <si>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</si>
  <si>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</si>
  <si>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</si>
  <si>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</si>
  <si>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</si>
  <si>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</si>
  <si>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</si>
  <si>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</si>
  <si>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</si>
  <si>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</si>
  <si>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</si>
  <si>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</si>
  <si>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</si>
  <si>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</si>
  <si>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</si>
  <si>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</si>
  <si>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</si>
  <si>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</si>
  <si>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</si>
  <si>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</si>
  <si>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</si>
  <si>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</si>
  <si>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</si>
  <si>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</si>
  <si>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</si>
  <si>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</si>
  <si>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</si>
  <si>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</si>
  <si>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</si>
  <si>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</si>
  <si>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</si>
  <si>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</si>
  <si>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</si>
  <si>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</si>
  <si>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</si>
  <si>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</si>
  <si>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</si>
  <si>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</si>
  <si>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</si>
  <si>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</si>
  <si>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</si>
  <si>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</si>
  <si>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</si>
  <si>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</si>
  <si>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</si>
  <si>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</si>
  <si>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</si>
  <si>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</si>
  <si>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</si>
  <si>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</si>
  <si>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</si>
  <si>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</si>
  <si>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</si>
  <si>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</si>
  <si>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</si>
  <si>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</si>
  <si>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</si>
  <si>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</si>
  <si>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</si>
  <si>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</si>
  <si>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</si>
  <si>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</si>
  <si>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</si>
  <si>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</si>
  <si>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</si>
  <si>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</si>
  <si>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</si>
  <si>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</si>
  <si>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</si>
  <si>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</si>
  <si>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</si>
  <si>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</si>
  <si>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</si>
  <si>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</si>
  <si>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</si>
  <si>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</si>
  <si>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</si>
  <si>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</si>
  <si>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</si>
  <si>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</si>
  <si>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</si>
  <si>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</si>
  <si>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</si>
  <si>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</si>
  <si>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</si>
  <si>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</si>
  <si>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</si>
  <si>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</si>
  <si>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</si>
  <si>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</si>
  <si>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</si>
  <si>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</si>
  <si>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</si>
  <si>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</si>
  <si>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</si>
  <si>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</si>
  <si>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</si>
  <si>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</si>
  <si>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</si>
  <si>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</si>
  <si>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</si>
  <si>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8/02</t>
  </si>
  <si>
    <t>8/22</t>
  </si>
  <si>
    <t>GREENLAND SCHOOL DISTRICT</t>
  </si>
  <si>
    <t>Deposit in wrong account.</t>
  </si>
  <si>
    <t>Decrease in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</si>
</sst>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215</v>
      </c>
      <c r="C2" s="21">
        <v>215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348086.65</v>
      </c>
      <c r="G9" s="18"/>
      <c r="H9" s="18"/>
      <c r="I9" s="18"/>
      <c r="J9" s="67">
        <f>SUM(I439)</f>
        <v>242206.95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4250.79</v>
      </c>
      <c r="G12" s="18"/>
      <c r="H12" s="18">
        <v>400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3914.61</v>
      </c>
      <c r="G13" s="18">
        <v>1293.6199999999999</v>
      </c>
      <c r="H13" s="18">
        <v>3172.79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1628.38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356252.05</v>
      </c>
      <c r="G19" s="41">
        <f>SUM(G9:G18)</f>
        <v>2922</v>
      </c>
      <c r="H19" s="41">
        <f>SUM(H9:H18)</f>
        <v>3572.79</v>
      </c>
      <c r="I19" s="41">
        <f>SUM(I9:I18)</f>
        <v>0</v>
      </c>
      <c r="J19" s="41">
        <f>SUM(J9:J18)</f>
        <v>242206.95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400</v>
      </c>
      <c r="G22" s="18">
        <v>1078</v>
      </c>
      <c r="H22" s="18">
        <v>3172.79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26416</v>
      </c>
      <c r="G24" s="18">
        <v>215.62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23407.439999999999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50223.44</v>
      </c>
      <c r="G32" s="41">
        <f>SUM(G22:G31)</f>
        <v>1293.6199999999999</v>
      </c>
      <c r="H32" s="41">
        <f>SUM(H22:H31)</f>
        <v>3172.79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1628.38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171805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400</v>
      </c>
      <c r="I48" s="18"/>
      <c r="J48" s="13">
        <f>SUM(I459)</f>
        <v>242206.95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134223.60999999999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306028.61</v>
      </c>
      <c r="G51" s="41">
        <f>SUM(G35:G50)</f>
        <v>1628.38</v>
      </c>
      <c r="H51" s="41">
        <f>SUM(H35:H50)</f>
        <v>400</v>
      </c>
      <c r="I51" s="41">
        <f>SUM(I35:I50)</f>
        <v>0</v>
      </c>
      <c r="J51" s="41">
        <f>SUM(J35:J50)</f>
        <v>242206.95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356252.05</v>
      </c>
      <c r="G52" s="41">
        <f>G51+G32</f>
        <v>2922</v>
      </c>
      <c r="H52" s="41">
        <f>H51+H32</f>
        <v>3572.79</v>
      </c>
      <c r="I52" s="41">
        <f>I51+I32</f>
        <v>0</v>
      </c>
      <c r="J52" s="41">
        <f>J51+J32</f>
        <v>242206.95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5924838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5924838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1033.82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1033.82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170.91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60967.25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20400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2000.92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22400.92</v>
      </c>
      <c r="G111" s="41">
        <f>SUM(G96:G110)</f>
        <v>60967.25</v>
      </c>
      <c r="H111" s="41">
        <f>SUM(H96:H110)</f>
        <v>400</v>
      </c>
      <c r="I111" s="41">
        <f>SUM(I96:I110)</f>
        <v>0</v>
      </c>
      <c r="J111" s="41">
        <f>SUM(J96:J110)</f>
        <v>170.91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5948272.7400000002</v>
      </c>
      <c r="G112" s="41">
        <f>G60+G111</f>
        <v>60967.25</v>
      </c>
      <c r="H112" s="41">
        <f>H60+H79+H94+H111</f>
        <v>400</v>
      </c>
      <c r="I112" s="41">
        <f>I60+I111</f>
        <v>0</v>
      </c>
      <c r="J112" s="41">
        <f>J60+J111</f>
        <v>170.91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431735.63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1594860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2026595.63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106964.42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1206.5899999999999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106964.42</v>
      </c>
      <c r="G136" s="41">
        <f>SUM(G123:G135)</f>
        <v>1206.5899999999999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2133560.0499999998</v>
      </c>
      <c r="G140" s="41">
        <f>G121+SUM(G136:G137)</f>
        <v>1206.5899999999999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43003.25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17698.7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72196.100000000006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72196.100000000006</v>
      </c>
      <c r="G162" s="41">
        <f>SUM(G150:G161)</f>
        <v>17698.7</v>
      </c>
      <c r="H162" s="41">
        <f>SUM(H150:H161)</f>
        <v>43003.25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72196.100000000006</v>
      </c>
      <c r="G169" s="41">
        <f>G147+G162+SUM(G163:G168)</f>
        <v>17698.7</v>
      </c>
      <c r="H169" s="41">
        <f>H147+H162+SUM(H163:H168)</f>
        <v>43003.25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23734.36</v>
      </c>
      <c r="H179" s="18"/>
      <c r="I179" s="18"/>
      <c r="J179" s="18">
        <v>221259.56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23734.36</v>
      </c>
      <c r="H183" s="41">
        <f>SUM(H179:H182)</f>
        <v>0</v>
      </c>
      <c r="I183" s="41">
        <f>SUM(I179:I182)</f>
        <v>0</v>
      </c>
      <c r="J183" s="41">
        <f>SUM(J179:J182)</f>
        <v>221259.56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23734.36</v>
      </c>
      <c r="H192" s="41">
        <f>+H183+SUM(H188:H191)</f>
        <v>0</v>
      </c>
      <c r="I192" s="41">
        <f>I177+I183+SUM(I188:I191)</f>
        <v>0</v>
      </c>
      <c r="J192" s="41">
        <f>J183</f>
        <v>221259.56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8154028.8899999997</v>
      </c>
      <c r="G193" s="47">
        <f>G112+G140+G169+G192</f>
        <v>103606.9</v>
      </c>
      <c r="H193" s="47">
        <f>H112+H140+H169+H192</f>
        <v>43403.25</v>
      </c>
      <c r="I193" s="47">
        <f>I112+I140+I169+I192</f>
        <v>0</v>
      </c>
      <c r="J193" s="47">
        <f>J112+J140+J192</f>
        <v>221430.47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1625975.85</v>
      </c>
      <c r="G197" s="18">
        <v>656230.48</v>
      </c>
      <c r="H197" s="18">
        <v>3793</v>
      </c>
      <c r="I197" s="18">
        <v>87939.7</v>
      </c>
      <c r="J197" s="18">
        <v>2575.1999999999998</v>
      </c>
      <c r="K197" s="18"/>
      <c r="L197" s="19">
        <f>SUM(F197:K197)</f>
        <v>2376514.2300000004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523259.33</v>
      </c>
      <c r="G198" s="18">
        <v>211183.16</v>
      </c>
      <c r="H198" s="18">
        <v>119017.52</v>
      </c>
      <c r="I198" s="18">
        <v>4196.97</v>
      </c>
      <c r="J198" s="18">
        <v>1106.99</v>
      </c>
      <c r="K198" s="18" t="s">
        <v>287</v>
      </c>
      <c r="L198" s="19">
        <f>SUM(F198:K198)</f>
        <v>858763.97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39504.5</v>
      </c>
      <c r="G200" s="18">
        <v>2960.38</v>
      </c>
      <c r="H200" s="18">
        <v>6957.04</v>
      </c>
      <c r="I200" s="18">
        <v>5489.51</v>
      </c>
      <c r="J200" s="18"/>
      <c r="K200" s="18"/>
      <c r="L200" s="19">
        <f>SUM(F200:K200)</f>
        <v>54911.43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216996.31</v>
      </c>
      <c r="G202" s="18">
        <v>87577.93</v>
      </c>
      <c r="H202" s="18">
        <v>41945.05</v>
      </c>
      <c r="I202" s="18">
        <v>3231.33</v>
      </c>
      <c r="J202" s="18"/>
      <c r="K202" s="18"/>
      <c r="L202" s="19">
        <f t="shared" ref="L202:L208" si="0">SUM(F202:K202)</f>
        <v>349750.62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63921</v>
      </c>
      <c r="G203" s="18">
        <v>52063.92</v>
      </c>
      <c r="H203" s="18">
        <v>12344.15</v>
      </c>
      <c r="I203" s="18">
        <v>9855.84</v>
      </c>
      <c r="J203" s="18">
        <v>54494.9</v>
      </c>
      <c r="K203" s="18">
        <v>2609.5700000000002</v>
      </c>
      <c r="L203" s="19">
        <f t="shared" si="0"/>
        <v>195289.38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11497.5</v>
      </c>
      <c r="G204" s="18">
        <v>942.6</v>
      </c>
      <c r="H204" s="18">
        <v>290106.31</v>
      </c>
      <c r="I204" s="18">
        <v>716.38</v>
      </c>
      <c r="J204" s="18"/>
      <c r="K204" s="18">
        <v>3914.53</v>
      </c>
      <c r="L204" s="19">
        <f t="shared" si="0"/>
        <v>307177.32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160981.82999999999</v>
      </c>
      <c r="G205" s="18">
        <v>67074.94</v>
      </c>
      <c r="H205" s="18">
        <v>10203.4</v>
      </c>
      <c r="I205" s="18">
        <v>1162.0999999999999</v>
      </c>
      <c r="J205" s="18">
        <v>89</v>
      </c>
      <c r="K205" s="18"/>
      <c r="L205" s="19">
        <f t="shared" si="0"/>
        <v>239511.27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6945.25</v>
      </c>
      <c r="L206" s="19">
        <f t="shared" si="0"/>
        <v>6945.25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172112.23</v>
      </c>
      <c r="G207" s="18">
        <v>69463.08</v>
      </c>
      <c r="H207" s="18">
        <v>115860.3</v>
      </c>
      <c r="I207" s="18">
        <v>124303.78</v>
      </c>
      <c r="J207" s="18">
        <v>2486.6999999999998</v>
      </c>
      <c r="K207" s="18"/>
      <c r="L207" s="19">
        <f t="shared" si="0"/>
        <v>484226.09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205091.88</v>
      </c>
      <c r="I208" s="18"/>
      <c r="J208" s="18"/>
      <c r="K208" s="18"/>
      <c r="L208" s="19">
        <f t="shared" si="0"/>
        <v>205091.88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4423</v>
      </c>
      <c r="H209" s="18">
        <v>6100.29</v>
      </c>
      <c r="I209" s="18">
        <v>289.05</v>
      </c>
      <c r="J209" s="18">
        <v>22488</v>
      </c>
      <c r="K209" s="18"/>
      <c r="L209" s="19">
        <f>SUM(F209:K209)</f>
        <v>33300.339999999997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2814248.5500000003</v>
      </c>
      <c r="G211" s="41">
        <f t="shared" si="1"/>
        <v>1151919.49</v>
      </c>
      <c r="H211" s="41">
        <f t="shared" si="1"/>
        <v>811418.94000000006</v>
      </c>
      <c r="I211" s="41">
        <f t="shared" si="1"/>
        <v>237184.65999999997</v>
      </c>
      <c r="J211" s="41">
        <f t="shared" si="1"/>
        <v>83240.790000000008</v>
      </c>
      <c r="K211" s="41">
        <f t="shared" si="1"/>
        <v>13469.35</v>
      </c>
      <c r="L211" s="41">
        <f t="shared" si="1"/>
        <v>5111481.7799999993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2118138.3199999998</v>
      </c>
      <c r="I233" s="18"/>
      <c r="J233" s="18"/>
      <c r="K233" s="18"/>
      <c r="L233" s="19">
        <f>SUM(F233:K233)</f>
        <v>2118138.3199999998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90364.18</v>
      </c>
      <c r="I234" s="18"/>
      <c r="J234" s="18"/>
      <c r="K234" s="18"/>
      <c r="L234" s="19">
        <f>SUM(F234:K234)</f>
        <v>90364.18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1277.5</v>
      </c>
      <c r="G240" s="18">
        <v>104.73</v>
      </c>
      <c r="H240" s="18">
        <v>32234.03</v>
      </c>
      <c r="I240" s="18">
        <v>79.599999999999994</v>
      </c>
      <c r="J240" s="18"/>
      <c r="K240" s="18">
        <v>434.95</v>
      </c>
      <c r="L240" s="19">
        <f t="shared" si="4"/>
        <v>34130.81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46808.97</v>
      </c>
      <c r="I244" s="18"/>
      <c r="J244" s="18"/>
      <c r="K244" s="18"/>
      <c r="L244" s="19">
        <f t="shared" si="4"/>
        <v>46808.97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1277.5</v>
      </c>
      <c r="G247" s="41">
        <f t="shared" si="5"/>
        <v>104.73</v>
      </c>
      <c r="H247" s="41">
        <f t="shared" si="5"/>
        <v>2287545.5</v>
      </c>
      <c r="I247" s="41">
        <f t="shared" si="5"/>
        <v>79.599999999999994</v>
      </c>
      <c r="J247" s="41">
        <f t="shared" si="5"/>
        <v>0</v>
      </c>
      <c r="K247" s="41">
        <f t="shared" si="5"/>
        <v>434.95</v>
      </c>
      <c r="L247" s="41">
        <f t="shared" si="5"/>
        <v>2289442.2800000003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2050</v>
      </c>
      <c r="I255" s="18"/>
      <c r="J255" s="18"/>
      <c r="K255" s="18"/>
      <c r="L255" s="19">
        <f t="shared" si="6"/>
        <v>2050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2050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2050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2815526.0500000003</v>
      </c>
      <c r="G257" s="41">
        <f t="shared" si="8"/>
        <v>1152024.22</v>
      </c>
      <c r="H257" s="41">
        <f t="shared" si="8"/>
        <v>3101014.44</v>
      </c>
      <c r="I257" s="41">
        <f t="shared" si="8"/>
        <v>237264.25999999998</v>
      </c>
      <c r="J257" s="41">
        <f t="shared" si="8"/>
        <v>83240.790000000008</v>
      </c>
      <c r="K257" s="41">
        <f t="shared" si="8"/>
        <v>13904.300000000001</v>
      </c>
      <c r="L257" s="41">
        <f t="shared" si="8"/>
        <v>7402974.0599999996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325000</v>
      </c>
      <c r="L260" s="19">
        <f>SUM(F260:K260)</f>
        <v>325000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131514</v>
      </c>
      <c r="L261" s="19">
        <f>SUM(F261:K261)</f>
        <v>131514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23734.36</v>
      </c>
      <c r="L263" s="19">
        <f>SUM(F263:K263)</f>
        <v>23734.36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221259.56</v>
      </c>
      <c r="L266" s="19">
        <f t="shared" si="9"/>
        <v>221259.56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701507.91999999993</v>
      </c>
      <c r="L270" s="41">
        <f t="shared" si="9"/>
        <v>701507.91999999993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2815526.0500000003</v>
      </c>
      <c r="G271" s="42">
        <f t="shared" si="11"/>
        <v>1152024.22</v>
      </c>
      <c r="H271" s="42">
        <f t="shared" si="11"/>
        <v>3101014.44</v>
      </c>
      <c r="I271" s="42">
        <f t="shared" si="11"/>
        <v>237264.25999999998</v>
      </c>
      <c r="J271" s="42">
        <f t="shared" si="11"/>
        <v>83240.790000000008</v>
      </c>
      <c r="K271" s="42">
        <f t="shared" si="11"/>
        <v>715412.22</v>
      </c>
      <c r="L271" s="42">
        <f t="shared" si="11"/>
        <v>8104481.9799999995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27902.3</v>
      </c>
      <c r="G276" s="18">
        <v>3402.08</v>
      </c>
      <c r="H276" s="18">
        <v>10418</v>
      </c>
      <c r="I276" s="18"/>
      <c r="J276" s="18"/>
      <c r="K276" s="18"/>
      <c r="L276" s="19">
        <f>SUM(F276:K276)</f>
        <v>41722.379999999997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>
        <v>1280.8699999999999</v>
      </c>
      <c r="K282" s="18"/>
      <c r="L282" s="19">
        <f t="shared" si="12"/>
        <v>1280.8699999999999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27902.3</v>
      </c>
      <c r="G290" s="42">
        <f t="shared" si="13"/>
        <v>3402.08</v>
      </c>
      <c r="H290" s="42">
        <f t="shared" si="13"/>
        <v>10418</v>
      </c>
      <c r="I290" s="42">
        <f t="shared" si="13"/>
        <v>0</v>
      </c>
      <c r="J290" s="42">
        <f t="shared" si="13"/>
        <v>1280.8699999999999</v>
      </c>
      <c r="K290" s="42">
        <f t="shared" si="13"/>
        <v>0</v>
      </c>
      <c r="L290" s="41">
        <f t="shared" si="13"/>
        <v>43003.25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27902.3</v>
      </c>
      <c r="G338" s="41">
        <f t="shared" si="20"/>
        <v>3402.08</v>
      </c>
      <c r="H338" s="41">
        <f t="shared" si="20"/>
        <v>10418</v>
      </c>
      <c r="I338" s="41">
        <f t="shared" si="20"/>
        <v>0</v>
      </c>
      <c r="J338" s="41">
        <f t="shared" si="20"/>
        <v>1280.8699999999999</v>
      </c>
      <c r="K338" s="41">
        <f t="shared" si="20"/>
        <v>0</v>
      </c>
      <c r="L338" s="41">
        <f t="shared" si="20"/>
        <v>43003.25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27902.3</v>
      </c>
      <c r="G352" s="41">
        <f>G338</f>
        <v>3402.08</v>
      </c>
      <c r="H352" s="41">
        <f>H338</f>
        <v>10418</v>
      </c>
      <c r="I352" s="41">
        <f>I338</f>
        <v>0</v>
      </c>
      <c r="J352" s="41">
        <f>J338</f>
        <v>1280.8699999999999</v>
      </c>
      <c r="K352" s="47">
        <f>K338+K351</f>
        <v>0</v>
      </c>
      <c r="L352" s="41">
        <f>L338+L351</f>
        <v>43003.25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44630.07</v>
      </c>
      <c r="G358" s="18">
        <v>18012.330000000002</v>
      </c>
      <c r="H358" s="18">
        <v>3200.61</v>
      </c>
      <c r="I358" s="18">
        <v>37643.9</v>
      </c>
      <c r="J358" s="18">
        <v>119.99</v>
      </c>
      <c r="K358" s="18"/>
      <c r="L358" s="13">
        <f>SUM(F358:K358)</f>
        <v>103606.90000000001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44630.07</v>
      </c>
      <c r="G362" s="47">
        <f t="shared" si="22"/>
        <v>18012.330000000002</v>
      </c>
      <c r="H362" s="47">
        <f t="shared" si="22"/>
        <v>3200.61</v>
      </c>
      <c r="I362" s="47">
        <f t="shared" si="22"/>
        <v>37643.9</v>
      </c>
      <c r="J362" s="47">
        <f t="shared" si="22"/>
        <v>119.99</v>
      </c>
      <c r="K362" s="47">
        <f t="shared" si="22"/>
        <v>0</v>
      </c>
      <c r="L362" s="47">
        <f t="shared" si="22"/>
        <v>103606.90000000001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35292.660000000003</v>
      </c>
      <c r="G367" s="18"/>
      <c r="H367" s="18"/>
      <c r="I367" s="56">
        <f>SUM(F367:H367)</f>
        <v>35292.660000000003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2351.2399999999998</v>
      </c>
      <c r="G368" s="63"/>
      <c r="H368" s="63"/>
      <c r="I368" s="56">
        <f>SUM(F368:H368)</f>
        <v>2351.2399999999998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37643.9</v>
      </c>
      <c r="G369" s="47">
        <f>SUM(G367:G368)</f>
        <v>0</v>
      </c>
      <c r="H369" s="47">
        <f>SUM(H367:H368)</f>
        <v>0</v>
      </c>
      <c r="I369" s="47">
        <f>SUM(I367:I368)</f>
        <v>37643.9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0.11</v>
      </c>
      <c r="I395" s="18"/>
      <c r="J395" s="24" t="s">
        <v>289</v>
      </c>
      <c r="K395" s="24" t="s">
        <v>289</v>
      </c>
      <c r="L395" s="56">
        <f t="shared" ref="L395:L400" si="26">SUM(F395:K395)</f>
        <v>0.11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20400</v>
      </c>
      <c r="H396" s="18"/>
      <c r="I396" s="18"/>
      <c r="J396" s="24" t="s">
        <v>289</v>
      </c>
      <c r="K396" s="24" t="s">
        <v>289</v>
      </c>
      <c r="L396" s="56">
        <f t="shared" si="26"/>
        <v>20400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200859.56</v>
      </c>
      <c r="H398" s="18">
        <v>8.4600000000000009</v>
      </c>
      <c r="I398" s="18"/>
      <c r="J398" s="24" t="s">
        <v>289</v>
      </c>
      <c r="K398" s="24" t="s">
        <v>289</v>
      </c>
      <c r="L398" s="56">
        <f t="shared" si="26"/>
        <v>200868.02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162.34</v>
      </c>
      <c r="I400" s="18"/>
      <c r="J400" s="24" t="s">
        <v>289</v>
      </c>
      <c r="K400" s="24" t="s">
        <v>289</v>
      </c>
      <c r="L400" s="56">
        <f t="shared" si="26"/>
        <v>162.34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221259.56</v>
      </c>
      <c r="H401" s="47">
        <f>SUM(H395:H400)</f>
        <v>170.91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221430.47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221259.56</v>
      </c>
      <c r="H408" s="47">
        <f>H393+H401+H407</f>
        <v>170.91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221430.47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405.47</v>
      </c>
      <c r="I426" s="18"/>
      <c r="J426" s="18"/>
      <c r="K426" s="18"/>
      <c r="L426" s="56">
        <f t="shared" si="29"/>
        <v>405.47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405.47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405.47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405.47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405.47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242206.95</v>
      </c>
      <c r="H439" s="18"/>
      <c r="I439" s="56">
        <f t="shared" ref="I439:I445" si="33">SUM(F439:H439)</f>
        <v>242206.95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242206.95</v>
      </c>
      <c r="H446" s="13">
        <f>SUM(H439:H445)</f>
        <v>0</v>
      </c>
      <c r="I446" s="13">
        <f>SUM(I439:I445)</f>
        <v>242206.95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242206.95</v>
      </c>
      <c r="H459" s="18"/>
      <c r="I459" s="56">
        <f t="shared" si="34"/>
        <v>242206.95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242206.95</v>
      </c>
      <c r="H460" s="83">
        <f>SUM(H454:H459)</f>
        <v>0</v>
      </c>
      <c r="I460" s="83">
        <f>SUM(I454:I459)</f>
        <v>242206.95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242206.95</v>
      </c>
      <c r="H461" s="42">
        <f>H452+H460</f>
        <v>0</v>
      </c>
      <c r="I461" s="42">
        <f>I452+I460</f>
        <v>242206.95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256481.7</v>
      </c>
      <c r="G465" s="18">
        <v>2774.97</v>
      </c>
      <c r="H465" s="18">
        <v>0</v>
      </c>
      <c r="I465" s="18">
        <v>0</v>
      </c>
      <c r="J465" s="18">
        <v>21181.95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8154028.8899999997</v>
      </c>
      <c r="G468" s="18">
        <v>103606.9</v>
      </c>
      <c r="H468" s="18">
        <v>43403.25</v>
      </c>
      <c r="I468" s="18"/>
      <c r="J468" s="18">
        <v>221430.47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8154028.8899999997</v>
      </c>
      <c r="G470" s="53">
        <f>SUM(G468:G469)</f>
        <v>103606.9</v>
      </c>
      <c r="H470" s="53">
        <f>SUM(H468:H469)</f>
        <v>43403.25</v>
      </c>
      <c r="I470" s="53">
        <f>SUM(I468:I469)</f>
        <v>0</v>
      </c>
      <c r="J470" s="53">
        <f>SUM(J468:J469)</f>
        <v>221430.47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8104481.9800000004</v>
      </c>
      <c r="G472" s="18">
        <v>103606.9</v>
      </c>
      <c r="H472" s="18">
        <v>43003.25</v>
      </c>
      <c r="I472" s="18"/>
      <c r="J472" s="18">
        <v>405.47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1146.5899999999999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8104481.9800000004</v>
      </c>
      <c r="G474" s="53">
        <f>SUM(G472:G473)</f>
        <v>104753.48999999999</v>
      </c>
      <c r="H474" s="53">
        <f>SUM(H472:H473)</f>
        <v>43003.25</v>
      </c>
      <c r="I474" s="53">
        <f>SUM(I472:I473)</f>
        <v>0</v>
      </c>
      <c r="J474" s="53">
        <f>SUM(J472:J473)</f>
        <v>405.47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306028.6099999994</v>
      </c>
      <c r="G476" s="53">
        <f>(G465+G470)- G474</f>
        <v>1628.3800000000047</v>
      </c>
      <c r="H476" s="53">
        <f>(H465+H470)- H474</f>
        <v>400</v>
      </c>
      <c r="I476" s="53">
        <f>(I465+I470)- I474</f>
        <v>0</v>
      </c>
      <c r="J476" s="53">
        <f>(J465+J470)- J474</f>
        <v>242206.95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6473515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4.4400000000000004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3220000</v>
      </c>
      <c r="G495" s="18"/>
      <c r="H495" s="18"/>
      <c r="I495" s="18"/>
      <c r="J495" s="18"/>
      <c r="K495" s="53">
        <f>SUM(F495:J495)</f>
        <v>3220000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325000</v>
      </c>
      <c r="G497" s="18"/>
      <c r="H497" s="18"/>
      <c r="I497" s="18"/>
      <c r="J497" s="18"/>
      <c r="K497" s="53">
        <f t="shared" si="35"/>
        <v>325000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2895000</v>
      </c>
      <c r="G498" s="204"/>
      <c r="H498" s="204"/>
      <c r="I498" s="204"/>
      <c r="J498" s="204"/>
      <c r="K498" s="205">
        <f t="shared" si="35"/>
        <v>2895000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628258.75</v>
      </c>
      <c r="G499" s="18"/>
      <c r="H499" s="18"/>
      <c r="I499" s="18"/>
      <c r="J499" s="18"/>
      <c r="K499" s="53">
        <f t="shared" si="35"/>
        <v>628258.75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3523258.75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3523258.75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325000</v>
      </c>
      <c r="G501" s="204"/>
      <c r="H501" s="204"/>
      <c r="I501" s="204"/>
      <c r="J501" s="204"/>
      <c r="K501" s="205">
        <f t="shared" si="35"/>
        <v>325000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128301.25</v>
      </c>
      <c r="G502" s="18"/>
      <c r="H502" s="18"/>
      <c r="I502" s="18"/>
      <c r="J502" s="18"/>
      <c r="K502" s="53">
        <f t="shared" si="35"/>
        <v>128301.25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453301.25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453301.25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460233.01</v>
      </c>
      <c r="G521" s="18">
        <v>183426.15</v>
      </c>
      <c r="H521" s="18">
        <v>117451.06</v>
      </c>
      <c r="I521" s="18">
        <v>4196.97</v>
      </c>
      <c r="J521" s="18">
        <v>1106.99</v>
      </c>
      <c r="K521" s="18"/>
      <c r="L521" s="88">
        <f>SUM(F521:K521)</f>
        <v>766414.17999999993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75"/>
      <c r="G522" s="175"/>
      <c r="H522" s="175"/>
      <c r="I522" s="175"/>
      <c r="J522" s="175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19472.75</v>
      </c>
      <c r="G523" s="18">
        <v>191285.19</v>
      </c>
      <c r="H523" s="18">
        <v>213937.43</v>
      </c>
      <c r="I523" s="18"/>
      <c r="J523" s="18"/>
      <c r="K523" s="18"/>
      <c r="L523" s="88">
        <f>SUM(F523:K523)</f>
        <v>424695.37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479705.76</v>
      </c>
      <c r="G524" s="108">
        <f>SUM(G521:G523)</f>
        <v>374711.33999999997</v>
      </c>
      <c r="H524" s="108">
        <f>SUM(H521:H523)</f>
        <v>331388.49</v>
      </c>
      <c r="I524" s="108">
        <f>SUM(I521:I523)</f>
        <v>4196.97</v>
      </c>
      <c r="J524" s="108">
        <f>SUM(J521:J523)</f>
        <v>1106.99</v>
      </c>
      <c r="K524" s="108">
        <f t="shared" ref="K524:L524" si="36">SUM(K521:K523)</f>
        <v>0</v>
      </c>
      <c r="L524" s="89">
        <f t="shared" si="36"/>
        <v>1191109.5499999998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94809.27</v>
      </c>
      <c r="G526" s="18">
        <v>38264.239999999998</v>
      </c>
      <c r="H526" s="18">
        <v>35511.050000000003</v>
      </c>
      <c r="I526" s="18">
        <v>1909.69</v>
      </c>
      <c r="J526" s="18"/>
      <c r="K526" s="18"/>
      <c r="L526" s="88">
        <f>SUM(F526:K526)</f>
        <v>170494.25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94809.27</v>
      </c>
      <c r="G529" s="89">
        <f t="shared" ref="G529:L529" si="37">SUM(G526:G528)</f>
        <v>38264.239999999998</v>
      </c>
      <c r="H529" s="89">
        <f t="shared" si="37"/>
        <v>35511.050000000003</v>
      </c>
      <c r="I529" s="89">
        <f t="shared" si="37"/>
        <v>1909.69</v>
      </c>
      <c r="J529" s="89">
        <f t="shared" si="37"/>
        <v>0</v>
      </c>
      <c r="K529" s="89">
        <f t="shared" si="37"/>
        <v>0</v>
      </c>
      <c r="L529" s="89">
        <f t="shared" si="37"/>
        <v>170494.25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8612.61</v>
      </c>
      <c r="G531" s="18">
        <v>3934.78</v>
      </c>
      <c r="H531" s="18">
        <v>1047.32</v>
      </c>
      <c r="I531" s="18">
        <v>300.89034482</v>
      </c>
      <c r="J531" s="18">
        <v>344.82</v>
      </c>
      <c r="K531" s="18">
        <v>112.02</v>
      </c>
      <c r="L531" s="88">
        <f>SUM(F531:K531)</f>
        <v>14352.440344820001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12918.91</v>
      </c>
      <c r="G533" s="18">
        <v>5902.17</v>
      </c>
      <c r="H533" s="18">
        <v>1570.98</v>
      </c>
      <c r="I533" s="18">
        <v>451.33</v>
      </c>
      <c r="J533" s="18">
        <v>517.24</v>
      </c>
      <c r="K533" s="18">
        <v>168.03</v>
      </c>
      <c r="L533" s="88">
        <f>SUM(F533:K533)</f>
        <v>21528.660000000003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21531.52</v>
      </c>
      <c r="G534" s="89">
        <f t="shared" ref="G534:L534" si="38">SUM(G531:G533)</f>
        <v>9836.9500000000007</v>
      </c>
      <c r="H534" s="89">
        <f t="shared" si="38"/>
        <v>2618.3000000000002</v>
      </c>
      <c r="I534" s="89">
        <f t="shared" si="38"/>
        <v>752.22034482000004</v>
      </c>
      <c r="J534" s="89">
        <f t="shared" si="38"/>
        <v>862.06</v>
      </c>
      <c r="K534" s="89">
        <f t="shared" si="38"/>
        <v>280.05</v>
      </c>
      <c r="L534" s="89">
        <f t="shared" si="38"/>
        <v>35881.100344820006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5055.3999999999996</v>
      </c>
      <c r="I536" s="18"/>
      <c r="J536" s="18"/>
      <c r="K536" s="18"/>
      <c r="L536" s="88">
        <f>SUM(F536:K536)</f>
        <v>5055.3999999999996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171.5</v>
      </c>
      <c r="I538" s="18"/>
      <c r="J538" s="18"/>
      <c r="K538" s="18"/>
      <c r="L538" s="88">
        <f>SUM(F538:K538)</f>
        <v>171.5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5226.8999999999996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5226.8999999999996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22360.06</v>
      </c>
      <c r="I541" s="18"/>
      <c r="J541" s="18"/>
      <c r="K541" s="18"/>
      <c r="L541" s="88">
        <f>SUM(F541:K541)</f>
        <v>22360.06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9920.44</v>
      </c>
      <c r="I543" s="18"/>
      <c r="J543" s="18"/>
      <c r="K543" s="18"/>
      <c r="L543" s="88">
        <f>SUM(F543:K543)</f>
        <v>9920.44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32280.5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32280.5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596046.55000000005</v>
      </c>
      <c r="G545" s="89">
        <f t="shared" ref="G545:L545" si="41">G524+G529+G534+G539+G544</f>
        <v>422812.52999999997</v>
      </c>
      <c r="H545" s="89">
        <f t="shared" si="41"/>
        <v>407025.24</v>
      </c>
      <c r="I545" s="89">
        <f t="shared" si="41"/>
        <v>6858.8803448199997</v>
      </c>
      <c r="J545" s="89">
        <f t="shared" si="41"/>
        <v>1969.05</v>
      </c>
      <c r="K545" s="89">
        <f t="shared" si="41"/>
        <v>280.05</v>
      </c>
      <c r="L545" s="89">
        <f t="shared" si="41"/>
        <v>1434992.3003448197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766414.17999999993</v>
      </c>
      <c r="G549" s="87">
        <f>L526</f>
        <v>170494.25</v>
      </c>
      <c r="H549" s="87">
        <f>L531</f>
        <v>14352.440344820001</v>
      </c>
      <c r="I549" s="87">
        <f>L536</f>
        <v>5055.3999999999996</v>
      </c>
      <c r="J549" s="87">
        <f>L541</f>
        <v>22360.06</v>
      </c>
      <c r="K549" s="87">
        <f>SUM(F549:J549)</f>
        <v>978676.33034482005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424695.37</v>
      </c>
      <c r="G551" s="87">
        <f>L528</f>
        <v>0</v>
      </c>
      <c r="H551" s="87">
        <f>L533</f>
        <v>21528.660000000003</v>
      </c>
      <c r="I551" s="87">
        <f>L538</f>
        <v>171.5</v>
      </c>
      <c r="J551" s="87">
        <f>L543</f>
        <v>9920.44</v>
      </c>
      <c r="K551" s="87">
        <f>SUM(F551:J551)</f>
        <v>456315.97000000003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1191109.5499999998</v>
      </c>
      <c r="G552" s="89">
        <f t="shared" si="42"/>
        <v>170494.25</v>
      </c>
      <c r="H552" s="89">
        <f t="shared" si="42"/>
        <v>35881.100344820006</v>
      </c>
      <c r="I552" s="89">
        <f t="shared" si="42"/>
        <v>5226.8999999999996</v>
      </c>
      <c r="J552" s="89">
        <f t="shared" si="42"/>
        <v>32280.5</v>
      </c>
      <c r="K552" s="89">
        <f t="shared" si="42"/>
        <v>1434992.3003448201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14439.9</v>
      </c>
      <c r="G562" s="18">
        <v>5828.66</v>
      </c>
      <c r="H562" s="18"/>
      <c r="I562" s="18"/>
      <c r="J562" s="18"/>
      <c r="K562" s="18"/>
      <c r="L562" s="88">
        <f>SUM(F562:K562)</f>
        <v>20268.559999999998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14439.9</v>
      </c>
      <c r="G565" s="89">
        <f t="shared" si="44"/>
        <v>5828.66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20268.559999999998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50613</v>
      </c>
      <c r="G567" s="18">
        <v>50421.41</v>
      </c>
      <c r="H567" s="18"/>
      <c r="I567" s="18"/>
      <c r="J567" s="18"/>
      <c r="K567" s="18"/>
      <c r="L567" s="88">
        <f>SUM(F567:K567)</f>
        <v>101034.41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50613</v>
      </c>
      <c r="G570" s="193">
        <f t="shared" ref="G570:L570" si="45">SUM(G567:G569)</f>
        <v>50421.41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101034.41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65052.9</v>
      </c>
      <c r="G571" s="89">
        <f t="shared" ref="G571:L571" si="46">G560+G565+G570</f>
        <v>56250.070000000007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121302.97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2118138.3199999998</v>
      </c>
      <c r="I575" s="87">
        <f>SUM(F575:H575)</f>
        <v>2118138.3199999998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28782.639999999999</v>
      </c>
      <c r="I579" s="87">
        <f t="shared" si="47"/>
        <v>28782.639999999999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58834.2</v>
      </c>
      <c r="G582" s="18"/>
      <c r="H582" s="18">
        <v>61410</v>
      </c>
      <c r="I582" s="87">
        <f t="shared" si="47"/>
        <v>120244.2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172146.47</v>
      </c>
      <c r="I591" s="18"/>
      <c r="J591" s="18">
        <v>36888.53</v>
      </c>
      <c r="K591" s="104">
        <f t="shared" ref="K591:K597" si="48">SUM(H591:J591)</f>
        <v>209035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22360.06</v>
      </c>
      <c r="I592" s="18"/>
      <c r="J592" s="18">
        <v>9920.44</v>
      </c>
      <c r="K592" s="104">
        <f t="shared" si="48"/>
        <v>32280.5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4377.96</v>
      </c>
      <c r="I594" s="18"/>
      <c r="J594" s="18"/>
      <c r="K594" s="104">
        <f t="shared" si="48"/>
        <v>4377.96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6207.39</v>
      </c>
      <c r="I595" s="18"/>
      <c r="J595" s="18"/>
      <c r="K595" s="104">
        <f t="shared" si="48"/>
        <v>6207.39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205091.88</v>
      </c>
      <c r="I598" s="108">
        <f>SUM(I591:I597)</f>
        <v>0</v>
      </c>
      <c r="J598" s="108">
        <f>SUM(J591:J597)</f>
        <v>46808.97</v>
      </c>
      <c r="K598" s="108">
        <f>SUM(K591:K597)</f>
        <v>251900.85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84521.66</v>
      </c>
      <c r="I604" s="18"/>
      <c r="J604" s="18"/>
      <c r="K604" s="104">
        <f>SUM(H604:J604)</f>
        <v>84521.66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84521.66</v>
      </c>
      <c r="I605" s="108">
        <f>SUM(I602:I604)</f>
        <v>0</v>
      </c>
      <c r="J605" s="108">
        <f>SUM(J602:J604)</f>
        <v>0</v>
      </c>
      <c r="K605" s="108">
        <f>SUM(K602:K604)</f>
        <v>84521.66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5587.5</v>
      </c>
      <c r="G611" s="18">
        <v>418.89</v>
      </c>
      <c r="H611" s="18">
        <v>3782.69</v>
      </c>
      <c r="I611" s="18"/>
      <c r="J611" s="18"/>
      <c r="K611" s="18"/>
      <c r="L611" s="88">
        <f>SUM(F611:K611)</f>
        <v>9789.08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5587.5</v>
      </c>
      <c r="G614" s="108">
        <f t="shared" si="49"/>
        <v>418.89</v>
      </c>
      <c r="H614" s="108">
        <f t="shared" si="49"/>
        <v>3782.69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9789.08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356252.05</v>
      </c>
      <c r="H617" s="109">
        <f>SUM(F52)</f>
        <v>356252.05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2922</v>
      </c>
      <c r="H618" s="109">
        <f>SUM(G52)</f>
        <v>2922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3572.79</v>
      </c>
      <c r="H619" s="109">
        <f>SUM(H52)</f>
        <v>3572.79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242206.95</v>
      </c>
      <c r="H621" s="109">
        <f>SUM(J52)</f>
        <v>242206.95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306028.61</v>
      </c>
      <c r="H622" s="109">
        <f>F476</f>
        <v>306028.6099999994</v>
      </c>
      <c r="I622" s="121" t="s">
        <v>101</v>
      </c>
      <c r="J622" s="109">
        <f t="shared" ref="J622:J655" si="50">G622-H622</f>
        <v>5.8207660913467407E-10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1628.38</v>
      </c>
      <c r="H623" s="109">
        <f>G476</f>
        <v>1628.3800000000047</v>
      </c>
      <c r="I623" s="121" t="s">
        <v>102</v>
      </c>
      <c r="J623" s="109">
        <f t="shared" si="50"/>
        <v>-4.5474735088646412E-12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400</v>
      </c>
      <c r="H624" s="109">
        <f>H476</f>
        <v>400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242206.95</v>
      </c>
      <c r="H626" s="109">
        <f>J476</f>
        <v>242206.95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8154028.8899999997</v>
      </c>
      <c r="H627" s="104">
        <f>SUM(F468)</f>
        <v>8154028.8899999997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103606.9</v>
      </c>
      <c r="H628" s="104">
        <f>SUM(G468)</f>
        <v>103606.9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43403.25</v>
      </c>
      <c r="H629" s="104">
        <f>SUM(H468)</f>
        <v>43403.25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221430.47</v>
      </c>
      <c r="H631" s="104">
        <f>SUM(J468)</f>
        <v>221430.47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8104481.9799999995</v>
      </c>
      <c r="H632" s="104">
        <f>SUM(F472)</f>
        <v>8104481.9800000004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43003.25</v>
      </c>
      <c r="H633" s="104">
        <f>SUM(H472)</f>
        <v>43003.25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37643.9</v>
      </c>
      <c r="H634" s="104">
        <f>I369</f>
        <v>37643.9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103606.90000000001</v>
      </c>
      <c r="H635" s="104">
        <f>SUM(G472)</f>
        <v>103606.9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221430.47</v>
      </c>
      <c r="H637" s="164">
        <f>SUM(J468)</f>
        <v>221430.47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405.47</v>
      </c>
      <c r="H638" s="164">
        <f>SUM(J472)</f>
        <v>405.47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242206.95</v>
      </c>
      <c r="H640" s="104">
        <f>SUM(G461)</f>
        <v>242206.95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242206.95</v>
      </c>
      <c r="H642" s="104">
        <f>SUM(I461)</f>
        <v>242206.95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170.91</v>
      </c>
      <c r="H644" s="104">
        <f>H408</f>
        <v>170.91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221259.56</v>
      </c>
      <c r="H645" s="104">
        <f>G408</f>
        <v>221259.56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221430.47</v>
      </c>
      <c r="H646" s="104">
        <f>L408</f>
        <v>221430.47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251900.85</v>
      </c>
      <c r="H647" s="104">
        <f>L208+L226+L244</f>
        <v>251900.85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84521.66</v>
      </c>
      <c r="H648" s="104">
        <f>(J257+J338)-(J255+J336)</f>
        <v>84521.66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205091.88</v>
      </c>
      <c r="H649" s="104">
        <f>H598</f>
        <v>205091.88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46808.97</v>
      </c>
      <c r="H651" s="104">
        <f>J598</f>
        <v>46808.97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23734.36</v>
      </c>
      <c r="H652" s="104">
        <f>K263+K345</f>
        <v>23734.36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221259.56</v>
      </c>
      <c r="H655" s="104">
        <f>K266+K347</f>
        <v>221259.56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5258091.93</v>
      </c>
      <c r="G660" s="19">
        <f>(L229+L309+L359)</f>
        <v>0</v>
      </c>
      <c r="H660" s="19">
        <f>(L247+L328+L360)</f>
        <v>2289442.2800000003</v>
      </c>
      <c r="I660" s="19">
        <f>SUM(F660:H660)</f>
        <v>7547534.21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60967.25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60967.25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205091.88</v>
      </c>
      <c r="G662" s="19">
        <f>(L226+L306)-(J226+J306)</f>
        <v>0</v>
      </c>
      <c r="H662" s="19">
        <f>(L244+L325)-(J244+J325)</f>
        <v>46808.97</v>
      </c>
      <c r="I662" s="19">
        <f>SUM(F662:H662)</f>
        <v>251900.85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153144.93999999997</v>
      </c>
      <c r="G663" s="199">
        <f>SUM(G575:G587)+SUM(I602:I604)+L612</f>
        <v>0</v>
      </c>
      <c r="H663" s="199">
        <f>SUM(H575:H587)+SUM(J602:J604)+L613</f>
        <v>2208330.96</v>
      </c>
      <c r="I663" s="19">
        <f>SUM(F663:H663)</f>
        <v>2361475.9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4838887.8599999994</v>
      </c>
      <c r="G664" s="19">
        <f>G660-SUM(G661:G663)</f>
        <v>0</v>
      </c>
      <c r="H664" s="19">
        <f>H660-SUM(H661:H663)</f>
        <v>34302.350000000093</v>
      </c>
      <c r="I664" s="19">
        <f>I660-SUM(I661:I663)</f>
        <v>4873190.21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371.23</v>
      </c>
      <c r="G665" s="248"/>
      <c r="H665" s="248"/>
      <c r="I665" s="19">
        <f>SUM(F665:H665)</f>
        <v>371.23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13034.74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13127.15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-34302.35</v>
      </c>
      <c r="I669" s="19">
        <f>SUM(F669:H669)</f>
        <v>-34302.35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13034.74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13034.74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GREENLAND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1653878.1500000001</v>
      </c>
      <c r="C9" s="229">
        <f>'DOE25'!G197+'DOE25'!G215+'DOE25'!G233+'DOE25'!G276+'DOE25'!G295+'DOE25'!G314</f>
        <v>659632.55999999994</v>
      </c>
    </row>
    <row r="10" spans="1:3" x14ac:dyDescent="0.2">
      <c r="A10" t="s">
        <v>779</v>
      </c>
      <c r="B10" s="240">
        <v>1536746.32</v>
      </c>
      <c r="C10" s="240">
        <v>612978.65</v>
      </c>
    </row>
    <row r="11" spans="1:3" x14ac:dyDescent="0.2">
      <c r="A11" t="s">
        <v>780</v>
      </c>
      <c r="B11" s="240">
        <v>64571.88</v>
      </c>
      <c r="C11" s="240">
        <v>25725.67</v>
      </c>
    </row>
    <row r="12" spans="1:3" x14ac:dyDescent="0.2">
      <c r="A12" t="s">
        <v>781</v>
      </c>
      <c r="B12" s="240">
        <v>52559.95</v>
      </c>
      <c r="C12" s="240">
        <v>20928.240000000002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1653878.15</v>
      </c>
      <c r="C13" s="231">
        <f>SUM(C10:C12)</f>
        <v>659632.56000000006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523259.33</v>
      </c>
      <c r="C18" s="229">
        <f>'DOE25'!G198+'DOE25'!G216+'DOE25'!G234+'DOE25'!G277+'DOE25'!G296+'DOE25'!G315</f>
        <v>211183.16</v>
      </c>
    </row>
    <row r="19" spans="1:3" x14ac:dyDescent="0.2">
      <c r="A19" t="s">
        <v>779</v>
      </c>
      <c r="B19" s="240">
        <v>361419</v>
      </c>
      <c r="C19" s="240">
        <v>145864.21</v>
      </c>
    </row>
    <row r="20" spans="1:3" x14ac:dyDescent="0.2">
      <c r="A20" t="s">
        <v>780</v>
      </c>
      <c r="B20" s="240">
        <v>161840.32999999999</v>
      </c>
      <c r="C20" s="240">
        <v>65318.95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523259.32999999996</v>
      </c>
      <c r="C22" s="231">
        <f>SUM(C19:C21)</f>
        <v>211183.15999999997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39504.5</v>
      </c>
      <c r="C36" s="235">
        <f>'DOE25'!G200+'DOE25'!G218+'DOE25'!G236+'DOE25'!G279+'DOE25'!G298+'DOE25'!G317</f>
        <v>2960.38</v>
      </c>
    </row>
    <row r="37" spans="1:3" x14ac:dyDescent="0.2">
      <c r="A37" t="s">
        <v>779</v>
      </c>
      <c r="B37" s="240">
        <v>5587.5</v>
      </c>
      <c r="C37" s="240">
        <v>448.5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33917</v>
      </c>
      <c r="C39" s="240">
        <v>2511.88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39504.5</v>
      </c>
      <c r="C40" s="231">
        <f>SUM(C37:C39)</f>
        <v>2960.38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GREENLAND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5498692.1300000008</v>
      </c>
      <c r="D5" s="20">
        <f>SUM('DOE25'!L197:L200)+SUM('DOE25'!L215:L218)+SUM('DOE25'!L233:L236)-F5-G5</f>
        <v>5495009.9400000004</v>
      </c>
      <c r="E5" s="243"/>
      <c r="F5" s="255">
        <f>SUM('DOE25'!J197:J200)+SUM('DOE25'!J215:J218)+SUM('DOE25'!J233:J236)</f>
        <v>3682.1899999999996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349750.62</v>
      </c>
      <c r="D6" s="20">
        <f>'DOE25'!L202+'DOE25'!L220+'DOE25'!L238-F6-G6</f>
        <v>349750.62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195289.38</v>
      </c>
      <c r="D7" s="20">
        <f>'DOE25'!L203+'DOE25'!L221+'DOE25'!L239-F7-G7</f>
        <v>138184.91</v>
      </c>
      <c r="E7" s="243"/>
      <c r="F7" s="255">
        <f>'DOE25'!J203+'DOE25'!J221+'DOE25'!J239</f>
        <v>54494.9</v>
      </c>
      <c r="G7" s="53">
        <f>'DOE25'!K203+'DOE25'!K221+'DOE25'!K239</f>
        <v>2609.5700000000002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184670.00000000003</v>
      </c>
      <c r="D8" s="243"/>
      <c r="E8" s="20">
        <f>'DOE25'!L204+'DOE25'!L222+'DOE25'!L240-F8-G8-D9-D11</f>
        <v>180320.52000000002</v>
      </c>
      <c r="F8" s="255">
        <f>'DOE25'!J204+'DOE25'!J222+'DOE25'!J240</f>
        <v>0</v>
      </c>
      <c r="G8" s="53">
        <f>'DOE25'!K204+'DOE25'!K222+'DOE25'!K240</f>
        <v>4349.4800000000005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32494.13</v>
      </c>
      <c r="D9" s="244">
        <v>32494.13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4950</v>
      </c>
      <c r="D10" s="243"/>
      <c r="E10" s="244">
        <v>4950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124144</v>
      </c>
      <c r="D11" s="244">
        <v>124144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239511.27</v>
      </c>
      <c r="D12" s="20">
        <f>'DOE25'!L205+'DOE25'!L223+'DOE25'!L241-F12-G12</f>
        <v>239422.27</v>
      </c>
      <c r="E12" s="243"/>
      <c r="F12" s="255">
        <f>'DOE25'!J205+'DOE25'!J223+'DOE25'!J241</f>
        <v>89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6945.25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6945.25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484226.09</v>
      </c>
      <c r="D14" s="20">
        <f>'DOE25'!L207+'DOE25'!L225+'DOE25'!L243-F14-G14</f>
        <v>481739.39</v>
      </c>
      <c r="E14" s="243"/>
      <c r="F14" s="255">
        <f>'DOE25'!J207+'DOE25'!J225+'DOE25'!J243</f>
        <v>2486.6999999999998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251900.85</v>
      </c>
      <c r="D15" s="20">
        <f>'DOE25'!L208+'DOE25'!L226+'DOE25'!L244-F15-G15</f>
        <v>251900.85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33300.339999999997</v>
      </c>
      <c r="D16" s="243"/>
      <c r="E16" s="20">
        <f>'DOE25'!L209+'DOE25'!L227+'DOE25'!L245-F16-G16</f>
        <v>10812.339999999997</v>
      </c>
      <c r="F16" s="255">
        <f>'DOE25'!J209+'DOE25'!J227+'DOE25'!J245</f>
        <v>22488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2050</v>
      </c>
      <c r="D22" s="243"/>
      <c r="E22" s="243"/>
      <c r="F22" s="255">
        <f>'DOE25'!L255+'DOE25'!L336</f>
        <v>2050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456514</v>
      </c>
      <c r="D25" s="243"/>
      <c r="E25" s="243"/>
      <c r="F25" s="258"/>
      <c r="G25" s="256"/>
      <c r="H25" s="257">
        <f>'DOE25'!L260+'DOE25'!L261+'DOE25'!L341+'DOE25'!L342</f>
        <v>456514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68314.240000000005</v>
      </c>
      <c r="D29" s="20">
        <f>'DOE25'!L358+'DOE25'!L359+'DOE25'!L360-'DOE25'!I367-F29-G29</f>
        <v>68194.25</v>
      </c>
      <c r="E29" s="243"/>
      <c r="F29" s="255">
        <f>'DOE25'!J358+'DOE25'!J359+'DOE25'!J360</f>
        <v>119.99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43003.25</v>
      </c>
      <c r="D31" s="20">
        <f>'DOE25'!L290+'DOE25'!L309+'DOE25'!L328+'DOE25'!L333+'DOE25'!L334+'DOE25'!L335-F31-G31</f>
        <v>41722.379999999997</v>
      </c>
      <c r="E31" s="243"/>
      <c r="F31" s="255">
        <f>'DOE25'!J290+'DOE25'!J309+'DOE25'!J328+'DOE25'!J333+'DOE25'!J334+'DOE25'!J335</f>
        <v>1280.8699999999999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7222562.7399999993</v>
      </c>
      <c r="E33" s="246">
        <f>SUM(E5:E31)</f>
        <v>196082.86000000002</v>
      </c>
      <c r="F33" s="246">
        <f>SUM(F5:F31)</f>
        <v>86691.650000000009</v>
      </c>
      <c r="G33" s="246">
        <f>SUM(G5:G31)</f>
        <v>13904.300000000001</v>
      </c>
      <c r="H33" s="246">
        <f>SUM(H5:H31)</f>
        <v>456514</v>
      </c>
    </row>
    <row r="35" spans="2:8" ht="12" thickBot="1" x14ac:dyDescent="0.25">
      <c r="B35" s="253" t="s">
        <v>847</v>
      </c>
      <c r="D35" s="254">
        <f>E33</f>
        <v>196082.86000000002</v>
      </c>
      <c r="E35" s="249"/>
    </row>
    <row r="36" spans="2:8" ht="12" thickTop="1" x14ac:dyDescent="0.2">
      <c r="B36" t="s">
        <v>815</v>
      </c>
      <c r="D36" s="20">
        <f>D33</f>
        <v>7222562.7399999993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348086.65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242206.95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4250.79</v>
      </c>
      <c r="D11" s="95">
        <f>'DOE25'!G12</f>
        <v>0</v>
      </c>
      <c r="E11" s="95">
        <f>'DOE25'!H12</f>
        <v>400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3914.61</v>
      </c>
      <c r="D12" s="95">
        <f>'DOE25'!G13</f>
        <v>1293.6199999999999</v>
      </c>
      <c r="E12" s="95">
        <f>'DOE25'!H13</f>
        <v>3172.79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1628.38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356252.05</v>
      </c>
      <c r="D18" s="41">
        <f>SUM(D8:D17)</f>
        <v>2922</v>
      </c>
      <c r="E18" s="41">
        <f>SUM(E8:E17)</f>
        <v>3572.79</v>
      </c>
      <c r="F18" s="41">
        <f>SUM(F8:F17)</f>
        <v>0</v>
      </c>
      <c r="G18" s="41">
        <f>SUM(G8:G17)</f>
        <v>242206.95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400</v>
      </c>
      <c r="D21" s="95">
        <f>'DOE25'!G22</f>
        <v>1078</v>
      </c>
      <c r="E21" s="95">
        <f>'DOE25'!H22</f>
        <v>3172.79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26416</v>
      </c>
      <c r="D23" s="95">
        <f>'DOE25'!G24</f>
        <v>215.62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23407.439999999999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50223.44</v>
      </c>
      <c r="D31" s="41">
        <f>SUM(D21:D30)</f>
        <v>1293.6199999999999</v>
      </c>
      <c r="E31" s="41">
        <f>SUM(E21:E30)</f>
        <v>3172.79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1628.38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171805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400</v>
      </c>
      <c r="F47" s="95">
        <f>'DOE25'!I48</f>
        <v>0</v>
      </c>
      <c r="G47" s="95">
        <f>'DOE25'!J48</f>
        <v>242206.95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134223.60999999999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306028.61</v>
      </c>
      <c r="D50" s="41">
        <f>SUM(D34:D49)</f>
        <v>1628.38</v>
      </c>
      <c r="E50" s="41">
        <f>SUM(E34:E49)</f>
        <v>400</v>
      </c>
      <c r="F50" s="41">
        <f>SUM(F34:F49)</f>
        <v>0</v>
      </c>
      <c r="G50" s="41">
        <f>SUM(G34:G49)</f>
        <v>242206.95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356252.05</v>
      </c>
      <c r="D51" s="41">
        <f>D50+D31</f>
        <v>2922</v>
      </c>
      <c r="E51" s="41">
        <f>E50+E31</f>
        <v>3572.79</v>
      </c>
      <c r="F51" s="41">
        <f>F50+F31</f>
        <v>0</v>
      </c>
      <c r="G51" s="41">
        <f>G50+G31</f>
        <v>242206.95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5924838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1033.82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170.91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60967.25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22400.92</v>
      </c>
      <c r="D61" s="95">
        <f>SUM('DOE25'!G98:G110)</f>
        <v>0</v>
      </c>
      <c r="E61" s="95">
        <f>SUM('DOE25'!H98:H110)</f>
        <v>400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23434.739999999998</v>
      </c>
      <c r="D62" s="130">
        <f>SUM(D57:D61)</f>
        <v>60967.25</v>
      </c>
      <c r="E62" s="130">
        <f>SUM(E57:E61)</f>
        <v>400</v>
      </c>
      <c r="F62" s="130">
        <f>SUM(F57:F61)</f>
        <v>0</v>
      </c>
      <c r="G62" s="130">
        <f>SUM(G57:G61)</f>
        <v>170.91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5948272.7400000002</v>
      </c>
      <c r="D63" s="22">
        <f>D56+D62</f>
        <v>60967.25</v>
      </c>
      <c r="E63" s="22">
        <f>E56+E62</f>
        <v>400</v>
      </c>
      <c r="F63" s="22">
        <f>F56+F62</f>
        <v>0</v>
      </c>
      <c r="G63" s="22">
        <f>G56+G62</f>
        <v>170.91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431735.63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1594860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2026595.63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106964.42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1206.5899999999999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106964.42</v>
      </c>
      <c r="D78" s="130">
        <f>SUM(D72:D77)</f>
        <v>1206.5899999999999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2133560.0499999998</v>
      </c>
      <c r="D81" s="130">
        <f>SUM(D79:D80)+D78+D70</f>
        <v>1206.5899999999999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72196.100000000006</v>
      </c>
      <c r="D88" s="95">
        <f>SUM('DOE25'!G153:G161)</f>
        <v>17698.7</v>
      </c>
      <c r="E88" s="95">
        <f>SUM('DOE25'!H153:H161)</f>
        <v>43003.25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72196.100000000006</v>
      </c>
      <c r="D91" s="131">
        <f>SUM(D85:D90)</f>
        <v>17698.7</v>
      </c>
      <c r="E91" s="131">
        <f>SUM(E85:E90)</f>
        <v>43003.25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23734.36</v>
      </c>
      <c r="E96" s="95">
        <f>'DOE25'!H179</f>
        <v>0</v>
      </c>
      <c r="F96" s="95">
        <f>'DOE25'!I179</f>
        <v>0</v>
      </c>
      <c r="G96" s="95">
        <f>'DOE25'!J179</f>
        <v>221259.56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23734.36</v>
      </c>
      <c r="E103" s="86">
        <f>SUM(E93:E102)</f>
        <v>0</v>
      </c>
      <c r="F103" s="86">
        <f>SUM(F93:F102)</f>
        <v>0</v>
      </c>
      <c r="G103" s="86">
        <f>SUM(G93:G102)</f>
        <v>221259.56</v>
      </c>
    </row>
    <row r="104" spans="1:7" ht="12.75" thickTop="1" thickBot="1" x14ac:dyDescent="0.25">
      <c r="A104" s="33" t="s">
        <v>765</v>
      </c>
      <c r="C104" s="86">
        <f>C63+C81+C91+C103</f>
        <v>8154028.8899999997</v>
      </c>
      <c r="D104" s="86">
        <f>D63+D81+D91+D103</f>
        <v>103606.9</v>
      </c>
      <c r="E104" s="86">
        <f>E63+E81+E91+E103</f>
        <v>43403.25</v>
      </c>
      <c r="F104" s="86">
        <f>F63+F81+F91+F103</f>
        <v>0</v>
      </c>
      <c r="G104" s="86">
        <f>G63+G81+G103</f>
        <v>221430.47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4494652.5500000007</v>
      </c>
      <c r="D109" s="24" t="s">
        <v>289</v>
      </c>
      <c r="E109" s="95">
        <f>('DOE25'!L276)+('DOE25'!L295)+('DOE25'!L314)</f>
        <v>41722.379999999997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949128.14999999991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54911.43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5498692.1300000008</v>
      </c>
      <c r="D115" s="86">
        <f>SUM(D109:D114)</f>
        <v>0</v>
      </c>
      <c r="E115" s="86">
        <f>SUM(E109:E114)</f>
        <v>41722.379999999997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349750.62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195289.38</v>
      </c>
      <c r="D119" s="24" t="s">
        <v>289</v>
      </c>
      <c r="E119" s="95">
        <f>+('DOE25'!L282)+('DOE25'!L301)+('DOE25'!L320)</f>
        <v>1280.8699999999999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341308.13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239511.27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6945.25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484226.09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251900.85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33300.339999999997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103606.90000000001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1902231.9300000002</v>
      </c>
      <c r="D128" s="86">
        <f>SUM(D118:D127)</f>
        <v>103606.90000000001</v>
      </c>
      <c r="E128" s="86">
        <f>SUM(E118:E127)</f>
        <v>1280.8699999999999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2050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131514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23734.36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221430.47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-170.91000000000349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703557.91999999993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8104481.9800000004</v>
      </c>
      <c r="D145" s="86">
        <f>(D115+D128+D144)</f>
        <v>103606.90000000001</v>
      </c>
      <c r="E145" s="86">
        <f>(E115+E128+E144)</f>
        <v>43003.25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6473515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4.4400000000000004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3220000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3220000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2895000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2895000</v>
      </c>
    </row>
    <row r="160" spans="1:9" x14ac:dyDescent="0.2">
      <c r="A160" s="22" t="s">
        <v>36</v>
      </c>
      <c r="B160" s="137">
        <f>'DOE25'!F499</f>
        <v>628258.75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628258.75</v>
      </c>
    </row>
    <row r="161" spans="1:7" x14ac:dyDescent="0.2">
      <c r="A161" s="22" t="s">
        <v>37</v>
      </c>
      <c r="B161" s="137">
        <f>'DOE25'!F500</f>
        <v>3523258.75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3523258.75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325000</v>
      </c>
    </row>
    <row r="163" spans="1:7" x14ac:dyDescent="0.2">
      <c r="A163" s="22" t="s">
        <v>39</v>
      </c>
      <c r="B163" s="137">
        <f>'DOE25'!F502</f>
        <v>128301.25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128301.25</v>
      </c>
    </row>
    <row r="164" spans="1:7" x14ac:dyDescent="0.2">
      <c r="A164" s="22" t="s">
        <v>246</v>
      </c>
      <c r="B164" s="137">
        <f>'DOE25'!F503</f>
        <v>453301.25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453301.25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GREENLAND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13035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13035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4536375</v>
      </c>
      <c r="D10" s="182">
        <f>ROUND((C10/$C$28)*100,1)</f>
        <v>59.5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949128</v>
      </c>
      <c r="D11" s="182">
        <f>ROUND((C11/$C$28)*100,1)</f>
        <v>12.5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54911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349751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196570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374608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239511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6945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484226</v>
      </c>
      <c r="D20" s="182">
        <f t="shared" si="0"/>
        <v>6.4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251901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131514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42639.75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7618079.75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2050</v>
      </c>
    </row>
    <row r="30" spans="1:4" x14ac:dyDescent="0.2">
      <c r="B30" s="187" t="s">
        <v>729</v>
      </c>
      <c r="C30" s="180">
        <f>SUM(C28:C29)</f>
        <v>7620129.75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325000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5924838</v>
      </c>
      <c r="D35" s="182">
        <f t="shared" ref="D35:D40" si="1">ROUND((C35/$C$41)*100,1)</f>
        <v>72.099999999999994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24005.650000000373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2026596</v>
      </c>
      <c r="D37" s="182">
        <f t="shared" si="1"/>
        <v>24.7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108171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132898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8216508.6500000004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GREENLAND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2014-07-17T17:49:00Z</cp:lastPrinted>
  <dcterms:created xsi:type="dcterms:W3CDTF">1997-12-04T19:04:30Z</dcterms:created>
  <dcterms:modified xsi:type="dcterms:W3CDTF">2014-08-07T12:00:37Z</dcterms:modified>
</cp:coreProperties>
</file>