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-1170" yWindow="75" windowWidth="12510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C37" i="12"/>
  <c r="B39" i="12"/>
  <c r="C21" i="12"/>
  <c r="C20" i="12"/>
  <c r="C19" i="12"/>
  <c r="B21" i="12"/>
  <c r="C12" i="12"/>
  <c r="C11" i="12"/>
  <c r="C10" i="12"/>
  <c r="B12" i="12"/>
  <c r="I604" i="1"/>
  <c r="F50" i="1"/>
  <c r="H604" i="1" l="1"/>
  <c r="H577" i="1"/>
  <c r="H581" i="1"/>
  <c r="G253" i="1" l="1"/>
  <c r="F253" i="1"/>
  <c r="H159" i="1" l="1"/>
  <c r="H154" i="1"/>
  <c r="G158" i="1"/>
  <c r="F6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E118" i="2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F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E112" i="2"/>
  <c r="C113" i="2"/>
  <c r="E113" i="2"/>
  <c r="C114" i="2"/>
  <c r="E114" i="2"/>
  <c r="D115" i="2"/>
  <c r="F115" i="2"/>
  <c r="G115" i="2"/>
  <c r="C119" i="2"/>
  <c r="E119" i="2"/>
  <c r="C120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F338" i="1" s="1"/>
  <c r="F352" i="1" s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2" i="1"/>
  <c r="H633" i="1"/>
  <c r="G634" i="1"/>
  <c r="H635" i="1"/>
  <c r="H636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5" i="1"/>
  <c r="G649" i="1"/>
  <c r="J649" i="1" s="1"/>
  <c r="G651" i="1"/>
  <c r="J651" i="1" s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26" i="10"/>
  <c r="L328" i="1"/>
  <c r="L351" i="1"/>
  <c r="A40" i="12"/>
  <c r="D62" i="2"/>
  <c r="D63" i="2" s="1"/>
  <c r="D18" i="13"/>
  <c r="C18" i="13" s="1"/>
  <c r="D18" i="2"/>
  <c r="D17" i="13"/>
  <c r="C17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E13" i="13"/>
  <c r="C13" i="13" s="1"/>
  <c r="E78" i="2"/>
  <c r="E81" i="2" s="1"/>
  <c r="L427" i="1"/>
  <c r="H112" i="1"/>
  <c r="F112" i="1"/>
  <c r="J641" i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45" i="1"/>
  <c r="J552" i="1"/>
  <c r="C29" i="10"/>
  <c r="H140" i="1"/>
  <c r="L401" i="1"/>
  <c r="C139" i="2" s="1"/>
  <c r="L393" i="1"/>
  <c r="F22" i="13"/>
  <c r="H25" i="13"/>
  <c r="C25" i="13" s="1"/>
  <c r="J640" i="1"/>
  <c r="H571" i="1"/>
  <c r="L560" i="1"/>
  <c r="J545" i="1"/>
  <c r="H338" i="1"/>
  <c r="H352" i="1" s="1"/>
  <c r="G192" i="1"/>
  <c r="H192" i="1"/>
  <c r="C35" i="10"/>
  <c r="E16" i="13"/>
  <c r="C16" i="13" s="1"/>
  <c r="J655" i="1"/>
  <c r="L570" i="1"/>
  <c r="I571" i="1"/>
  <c r="I545" i="1"/>
  <c r="J636" i="1"/>
  <c r="G36" i="2"/>
  <c r="L565" i="1"/>
  <c r="G545" i="1"/>
  <c r="C22" i="13"/>
  <c r="C138" i="2"/>
  <c r="H33" i="13"/>
  <c r="F476" i="1" l="1"/>
  <c r="H622" i="1" s="1"/>
  <c r="J622" i="1" s="1"/>
  <c r="I661" i="1"/>
  <c r="G645" i="1"/>
  <c r="J645" i="1" s="1"/>
  <c r="K551" i="1"/>
  <c r="H545" i="1"/>
  <c r="L545" i="1"/>
  <c r="K549" i="1"/>
  <c r="F552" i="1"/>
  <c r="J639" i="1"/>
  <c r="K598" i="1"/>
  <c r="G647" i="1" s="1"/>
  <c r="J644" i="1"/>
  <c r="J634" i="1"/>
  <c r="L362" i="1"/>
  <c r="E128" i="2"/>
  <c r="L309" i="1"/>
  <c r="C16" i="10"/>
  <c r="E115" i="2"/>
  <c r="L290" i="1"/>
  <c r="L338" i="1" s="1"/>
  <c r="L352" i="1" s="1"/>
  <c r="G633" i="1" s="1"/>
  <c r="J633" i="1" s="1"/>
  <c r="L211" i="1"/>
  <c r="C15" i="10"/>
  <c r="C18" i="10"/>
  <c r="C123" i="2"/>
  <c r="C21" i="10"/>
  <c r="C17" i="10"/>
  <c r="L247" i="1"/>
  <c r="H257" i="1"/>
  <c r="H271" i="1" s="1"/>
  <c r="C111" i="2"/>
  <c r="A13" i="12"/>
  <c r="I662" i="1"/>
  <c r="D14" i="13"/>
  <c r="C14" i="13" s="1"/>
  <c r="H660" i="1"/>
  <c r="H664" i="1" s="1"/>
  <c r="H672" i="1" s="1"/>
  <c r="C6" i="10" s="1"/>
  <c r="C109" i="2"/>
  <c r="D15" i="13"/>
  <c r="C15" i="13" s="1"/>
  <c r="G650" i="1"/>
  <c r="H647" i="1"/>
  <c r="J647" i="1" s="1"/>
  <c r="C124" i="2"/>
  <c r="D12" i="13"/>
  <c r="C12" i="13" s="1"/>
  <c r="C121" i="2"/>
  <c r="D7" i="13"/>
  <c r="C7" i="13" s="1"/>
  <c r="D6" i="13"/>
  <c r="C6" i="13" s="1"/>
  <c r="C118" i="2"/>
  <c r="G257" i="1"/>
  <c r="G271" i="1" s="1"/>
  <c r="L229" i="1"/>
  <c r="L257" i="1" s="1"/>
  <c r="L271" i="1" s="1"/>
  <c r="G632" i="1" s="1"/>
  <c r="J632" i="1" s="1"/>
  <c r="C110" i="2"/>
  <c r="C115" i="2" s="1"/>
  <c r="J257" i="1"/>
  <c r="J271" i="1" s="1"/>
  <c r="I257" i="1"/>
  <c r="I271" i="1" s="1"/>
  <c r="C10" i="10"/>
  <c r="E33" i="13"/>
  <c r="D35" i="13" s="1"/>
  <c r="D5" i="13"/>
  <c r="C5" i="13" s="1"/>
  <c r="C70" i="2"/>
  <c r="C81" i="2"/>
  <c r="C62" i="2"/>
  <c r="C63" i="2" s="1"/>
  <c r="E3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K552" i="1" l="1"/>
  <c r="H667" i="1"/>
  <c r="F660" i="1"/>
  <c r="F664" i="1" s="1"/>
  <c r="F667" i="1" s="1"/>
  <c r="D31" i="13"/>
  <c r="C31" i="13" s="1"/>
  <c r="C128" i="2"/>
  <c r="C145" i="2" s="1"/>
  <c r="C28" i="10"/>
  <c r="D24" i="10" s="1"/>
  <c r="G660" i="1"/>
  <c r="G664" i="1" s="1"/>
  <c r="C104" i="2"/>
  <c r="C51" i="2"/>
  <c r="G631" i="1"/>
  <c r="J646" i="1"/>
  <c r="G193" i="1"/>
  <c r="G628" i="1" s="1"/>
  <c r="J628" i="1" s="1"/>
  <c r="G626" i="1"/>
  <c r="J52" i="1"/>
  <c r="H621" i="1" s="1"/>
  <c r="J621" i="1" s="1"/>
  <c r="C38" i="10"/>
  <c r="F672" i="1" l="1"/>
  <c r="C4" i="10" s="1"/>
  <c r="I660" i="1"/>
  <c r="I664" i="1" s="1"/>
  <c r="I672" i="1" s="1"/>
  <c r="C7" i="10" s="1"/>
  <c r="D33" i="13"/>
  <c r="D36" i="13" s="1"/>
  <c r="D23" i="10"/>
  <c r="D26" i="10"/>
  <c r="D10" i="10"/>
  <c r="C30" i="10"/>
  <c r="D13" i="10"/>
  <c r="D11" i="10"/>
  <c r="D12" i="10"/>
  <c r="D27" i="10"/>
  <c r="D20" i="10"/>
  <c r="D18" i="10"/>
  <c r="D15" i="10"/>
  <c r="D17" i="10"/>
  <c r="D25" i="10"/>
  <c r="D19" i="10"/>
  <c r="D21" i="10"/>
  <c r="D16" i="10"/>
  <c r="D22" i="10"/>
  <c r="G667" i="1"/>
  <c r="G672" i="1"/>
  <c r="C5" i="10" s="1"/>
  <c r="C41" i="10"/>
  <c r="D38" i="10" s="1"/>
  <c r="I667" i="1" l="1"/>
  <c r="D28" i="10"/>
  <c r="D37" i="10"/>
  <c r="D36" i="10"/>
  <c r="D35" i="10"/>
  <c r="D40" i="10"/>
  <c r="D39" i="10"/>
  <c r="D41" i="10" l="1"/>
  <c r="H637" i="1"/>
  <c r="J637" i="1" s="1"/>
  <c r="J470" i="1"/>
  <c r="J476" i="1" s="1"/>
  <c r="H626" i="1" s="1"/>
  <c r="H631" i="1"/>
  <c r="J631" i="1" s="1"/>
  <c r="H656" i="1" l="1"/>
  <c r="J62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<sst xmlns="http://schemas.openxmlformats.org/spreadsheetml/2006/main" count="3956" uniqueCount="914">
  <si>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</si>
  <si>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</si>
  <si>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</si>
  <si>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</si>
  <si>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</si>
  <si>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</si>
  <si>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</si>
  <si>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</si>
  <si>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</si>
  <si>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</si>
  <si>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</si>
  <si>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</si>
  <si>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</si>
  <si>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</si>
  <si>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</si>
  <si>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</si>
  <si>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</si>
  <si>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</si>
  <si>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</si>
  <si>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</si>
  <si>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</si>
  <si>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</si>
  <si>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</si>
  <si>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</si>
  <si>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</si>
  <si>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</si>
  <si>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</si>
  <si>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</si>
  <si>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</si>
  <si>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</si>
  <si>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</si>
  <si>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</si>
  <si>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</si>
  <si>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</si>
  <si>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</si>
  <si>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</si>
  <si>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</si>
  <si>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</si>
  <si>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</si>
  <si>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</si>
  <si>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</si>
  <si>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</si>
  <si>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</si>
  <si>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</si>
  <si>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</si>
  <si>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</si>
  <si>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</si>
  <si>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</si>
  <si>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</si>
  <si>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</si>
  <si>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</si>
  <si>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</si>
  <si>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</si>
  <si>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</si>
  <si>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</si>
  <si>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</si>
  <si>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</si>
  <si>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</si>
  <si>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</si>
  <si>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</si>
  <si>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</si>
  <si>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</si>
  <si>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</si>
  <si>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</si>
  <si>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</si>
  <si>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</si>
  <si>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</si>
  <si>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</si>
  <si>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</si>
  <si>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</si>
  <si>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</si>
  <si>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</si>
  <si>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</si>
  <si>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</si>
  <si>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</si>
  <si>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</si>
  <si>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</si>
  <si>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</si>
  <si>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</si>
  <si>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</si>
  <si>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</si>
  <si>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</si>
  <si>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</si>
  <si>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</si>
  <si>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</si>
  <si>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</si>
  <si>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</si>
  <si>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</si>
  <si>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</si>
  <si>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</si>
  <si>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</si>
  <si>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</si>
  <si>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</si>
  <si>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</si>
  <si>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</si>
  <si>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</si>
  <si>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</si>
  <si>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</si>
  <si>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</si>
  <si>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</si>
  <si>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</si>
  <si>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</si>
  <si>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</si>
  <si>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</si>
  <si>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</si>
  <si>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</si>
  <si>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</si>
  <si>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</si>
  <si>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</si>
  <si>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</si>
  <si>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</si>
  <si>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</si>
  <si>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</si>
  <si>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</si>
  <si>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</si>
  <si>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</si>
  <si>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</si>
  <si>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</si>
  <si>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</si>
  <si>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</si>
  <si>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</si>
  <si>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</si>
  <si>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</si>
  <si>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</si>
  <si>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</si>
  <si>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</si>
  <si>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</si>
  <si>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</si>
  <si>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</si>
  <si>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</si>
  <si>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</si>
  <si>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</si>
  <si>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</si>
  <si>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</si>
  <si>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</si>
  <si>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</si>
  <si>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</si>
  <si>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</si>
  <si>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</si>
  <si>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</si>
  <si>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</si>
  <si>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</si>
  <si>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</si>
  <si>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</si>
  <si>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</si>
  <si>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</si>
  <si>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</si>
  <si>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</si>
  <si>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</si>
  <si>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</si>
  <si>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</si>
  <si>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</si>
  <si>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</si>
  <si>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</si>
  <si>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</si>
  <si>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</si>
  <si>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</si>
  <si>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</si>
  <si>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</si>
  <si>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</si>
  <si>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</si>
  <si>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</si>
  <si>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</si>
  <si>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</si>
  <si>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</si>
  <si>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</si>
  <si>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</si>
  <si>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</si>
  <si>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</si>
  <si>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</si>
  <si>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</si>
  <si>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</si>
  <si>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</si>
  <si>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</si>
  <si>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</si>
  <si>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</si>
  <si>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</si>
  <si>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</si>
  <si>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</si>
  <si>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</si>
  <si>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</si>
  <si>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</si>
  <si>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</si>
  <si>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</si>
  <si>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</si>
  <si>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</si>
  <si>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</si>
  <si>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</si>
  <si>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</si>
  <si>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</si>
  <si>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</si>
  <si>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</si>
  <si>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</si>
  <si>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</si>
  <si>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</si>
  <si>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</si>
  <si>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</si>
  <si>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</si>
  <si>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</si>
  <si>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</si>
  <si>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</si>
  <si>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</si>
  <si>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</si>
  <si>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</si>
  <si>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</si>
  <si>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</si>
  <si>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</si>
  <si>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</si>
  <si>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</si>
  <si>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</si>
  <si>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</si>
  <si>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</si>
  <si>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</si>
  <si>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</si>
  <si>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</si>
  <si>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</si>
  <si>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</si>
  <si>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</si>
  <si>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</si>
  <si>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</si>
  <si>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</si>
  <si>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</si>
  <si>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</si>
  <si>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</si>
  <si>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</si>
  <si>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</si>
  <si>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</si>
  <si>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</si>
  <si>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</si>
  <si>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</si>
  <si>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</si>
  <si>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</si>
  <si>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</si>
  <si>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</si>
  <si>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</si>
  <si>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</si>
  <si>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</si>
  <si>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</si>
  <si>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</si>
  <si>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</si>
  <si>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</si>
  <si>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</si>
  <si>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</si>
  <si>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</si>
  <si>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</si>
  <si>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</si>
  <si>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</si>
  <si>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</si>
  <si>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</si>
  <si>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</si>
  <si>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</si>
  <si>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</si>
  <si>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</si>
  <si>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</si>
  <si>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</si>
  <si>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</si>
  <si>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</si>
  <si>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</si>
  <si>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</si>
  <si>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</si>
  <si>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</si>
  <si>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</si>
  <si>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</si>
  <si>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</si>
  <si>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</si>
  <si>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</si>
  <si>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</si>
  <si>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</si>
  <si>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</si>
  <si>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</si>
  <si>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</si>
  <si>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</si>
  <si>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</si>
  <si>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</si>
  <si>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</si>
  <si>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</si>
  <si>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</si>
  <si>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</si>
  <si>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</si>
  <si>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</si>
  <si>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</si>
  <si>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</si>
  <si>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</si>
  <si>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</si>
  <si>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</si>
  <si>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</si>
  <si>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</si>
  <si>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</si>
  <si>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</si>
  <si>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</si>
  <si>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</si>
  <si>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</si>
  <si>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</si>
  <si>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</si>
  <si>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</si>
  <si>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</si>
  <si>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</si>
  <si>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</si>
  <si>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</si>
  <si>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</si>
  <si>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</si>
  <si>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</si>
  <si>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</si>
  <si>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</si>
  <si>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</si>
  <si>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</si>
  <si>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</si>
  <si>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</si>
  <si>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</si>
  <si>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</si>
  <si>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</si>
  <si>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</si>
  <si>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</si>
  <si>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</si>
  <si>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</si>
  <si>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</si>
  <si>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</si>
  <si>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</si>
  <si>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</si>
  <si>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</si>
  <si>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</si>
  <si>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</si>
  <si>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</si>
  <si>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</si>
  <si>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</si>
  <si>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</si>
  <si>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</si>
  <si>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</si>
  <si>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</si>
  <si>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</si>
  <si>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</si>
  <si>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</si>
  <si>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</si>
  <si>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</si>
  <si>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</si>
  <si>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</si>
  <si>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</si>
  <si>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</si>
  <si>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</si>
  <si>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</si>
  <si>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</si>
  <si>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</si>
  <si>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</si>
  <si>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</si>
  <si>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</si>
  <si>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</si>
  <si>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</si>
  <si>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</si>
  <si>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</si>
  <si>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</si>
  <si>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</si>
  <si>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</si>
  <si>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</si>
  <si>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</si>
  <si>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</si>
  <si>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</si>
  <si>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</si>
  <si>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</si>
  <si>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</si>
  <si>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</si>
  <si>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</si>
  <si>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</si>
  <si>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</si>
  <si>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</si>
  <si>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</si>
  <si>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</si>
  <si>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</si>
  <si>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</si>
  <si>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</si>
  <si>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</si>
  <si>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</si>
  <si>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</si>
  <si>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</si>
  <si>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</si>
  <si>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</si>
  <si>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</si>
  <si>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</si>
  <si>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</si>
  <si>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</si>
  <si>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</si>
  <si>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</si>
  <si>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</si>
  <si>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</si>
  <si>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</si>
  <si>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</si>
  <si>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</si>
  <si>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</si>
  <si>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</si>
  <si>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</si>
  <si>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</si>
  <si>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</si>
  <si>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</si>
  <si>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</si>
  <si>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</si>
  <si>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</si>
  <si>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</si>
  <si>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</si>
  <si>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</si>
  <si>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</si>
  <si>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</si>
  <si>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</si>
  <si>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</si>
  <si>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</si>
  <si>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</si>
  <si>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</si>
  <si>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</si>
  <si>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</si>
  <si>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</si>
  <si>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</si>
  <si>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</si>
  <si>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</si>
  <si>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</si>
  <si>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</si>
  <si>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</si>
  <si>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</si>
  <si>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</si>
  <si>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</si>
  <si>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</si>
  <si>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</si>
  <si>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</si>
  <si>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</si>
  <si>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</si>
  <si>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</si>
  <si>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</si>
  <si>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</si>
  <si>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</si>
  <si>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</si>
  <si>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</si>
  <si>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</si>
  <si>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</si>
  <si>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</si>
  <si>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</si>
  <si>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</si>
  <si>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</si>
  <si>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</si>
  <si>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</si>
  <si>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</si>
  <si>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</si>
  <si>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</si>
  <si>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</si>
  <si>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</si>
  <si>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</si>
  <si>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</si>
  <si>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</si>
  <si>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</si>
  <si>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</si>
  <si>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</si>
  <si>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</si>
  <si>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</si>
  <si>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</si>
  <si>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</si>
  <si>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</si>
  <si>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</si>
  <si>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</si>
  <si>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</si>
  <si>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</si>
  <si>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</si>
  <si>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</si>
  <si>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</si>
  <si>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</si>
  <si>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</si>
  <si>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</si>
  <si>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</si>
  <si>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</si>
  <si>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</si>
  <si>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</si>
  <si>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</si>
  <si>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</si>
  <si>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</si>
  <si>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</si>
  <si>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</si>
  <si>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</si>
  <si>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</si>
  <si>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</si>
  <si>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</si>
  <si>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</si>
  <si>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</si>
  <si>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</si>
  <si>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</si>
  <si>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</si>
  <si>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</si>
  <si>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</si>
  <si>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</si>
  <si>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</si>
  <si>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</si>
  <si>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</si>
  <si>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</si>
  <si>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</si>
  <si>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</si>
  <si>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</si>
  <si>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</si>
  <si>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</si>
  <si>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</si>
  <si>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</si>
  <si>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</si>
  <si>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</si>
  <si>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</si>
  <si>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</si>
  <si>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</si>
  <si>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</si>
  <si>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</si>
  <si>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</si>
  <si>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</si>
  <si>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</si>
  <si>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</si>
  <si>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</si>
  <si>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</si>
  <si>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</si>
  <si>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</si>
  <si>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</si>
  <si>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</si>
  <si>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</si>
  <si>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</si>
  <si>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</si>
  <si>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</si>
  <si>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</si>
  <si>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</si>
  <si>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</si>
  <si>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</si>
  <si>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</si>
  <si>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</si>
  <si>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</si>
  <si>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</si>
  <si>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</si>
  <si>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</si>
  <si>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</si>
  <si>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</si>
  <si>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</si>
  <si>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</si>
  <si>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</si>
  <si>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</si>
  <si>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</si>
  <si>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</si>
  <si>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</si>
  <si>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</si>
  <si>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</si>
  <si>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</si>
  <si>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</si>
  <si>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</si>
  <si>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</si>
  <si>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</si>
  <si>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</si>
  <si>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</si>
  <si>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</si>
  <si>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</si>
  <si>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</si>
  <si>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</si>
  <si>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</si>
  <si>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</si>
  <si>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</si>
  <si>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</si>
  <si>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</si>
  <si>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</si>
  <si>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</si>
  <si>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</si>
  <si>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</si>
  <si>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</si>
  <si>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</si>
  <si>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</si>
  <si>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</si>
  <si>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</si>
  <si>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</si>
  <si>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</si>
  <si>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</si>
  <si>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</si>
  <si>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</si>
  <si>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</si>
  <si>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</si>
  <si>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</si>
  <si>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</si>
  <si>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</si>
  <si>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</si>
  <si>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</si>
  <si>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</si>
  <si>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</si>
  <si>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</si>
  <si>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</si>
  <si>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</si>
  <si>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</si>
  <si>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</si>
  <si>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</si>
  <si>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</si>
  <si>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</si>
  <si>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</si>
  <si>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</si>
  <si>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</si>
  <si>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</si>
  <si>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</si>
  <si>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</si>
  <si>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</si>
  <si>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</si>
  <si>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</si>
  <si>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</si>
  <si>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</si>
  <si>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</si>
  <si>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</si>
  <si>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</si>
  <si>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</si>
  <si>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</si>
  <si>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</si>
  <si>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</si>
  <si>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</si>
  <si>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</si>
  <si>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</si>
  <si>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</si>
  <si>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</si>
  <si>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</si>
  <si>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</si>
  <si>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</si>
  <si>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</si>
  <si>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</si>
  <si>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</si>
  <si>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</si>
  <si>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</si>
  <si>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</si>
  <si>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</si>
  <si>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</si>
  <si>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</si>
  <si>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</si>
  <si>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</si>
  <si>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</si>
  <si>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</si>
  <si>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</si>
  <si>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</si>
  <si>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</si>
  <si>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</si>
  <si>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</si>
  <si>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</si>
  <si>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</si>
  <si>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</si>
  <si>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</si>
  <si>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</si>
  <si>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</si>
  <si>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</si>
  <si>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</si>
  <si>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</si>
  <si>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</si>
  <si>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</si>
  <si>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</si>
  <si>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</si>
  <si>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</si>
  <si>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</si>
  <si>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</si>
  <si>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</si>
  <si>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</si>
  <si>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</si>
  <si>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</si>
  <si>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</si>
  <si>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</si>
  <si>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</si>
  <si>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</si>
  <si>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</si>
  <si>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</si>
  <si>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</si>
  <si>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</si>
  <si>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</si>
  <si>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</si>
  <si>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</si>
  <si>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</si>
  <si>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</si>
  <si>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</si>
  <si>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</si>
  <si>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</si>
  <si>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</si>
  <si>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</si>
  <si>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</si>
  <si>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</si>
  <si>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</si>
  <si>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</si>
  <si>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</si>
  <si>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</si>
  <si>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</si>
  <si>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</si>
  <si>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</si>
  <si>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</si>
  <si>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</si>
  <si>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</si>
  <si>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</si>
  <si>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</si>
  <si>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</si>
  <si>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</si>
  <si>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</si>
  <si>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</si>
  <si>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</si>
  <si>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</si>
  <si>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</si>
  <si>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</si>
  <si>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</si>
  <si>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</si>
  <si>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</si>
  <si>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</si>
  <si>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</si>
  <si>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</si>
  <si>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</si>
  <si>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</si>
  <si>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</si>
  <si>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</si>
  <si>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</si>
  <si>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</si>
  <si>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</si>
  <si>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</si>
  <si>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</si>
  <si>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</si>
  <si>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</si>
  <si>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</si>
  <si>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</si>
  <si>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</si>
  <si>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</si>
  <si>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</si>
  <si>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</si>
  <si>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</si>
  <si>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</si>
  <si>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</si>
  <si>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</si>
  <si>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</si>
  <si>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</si>
  <si>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</si>
  <si>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</si>
  <si>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</si>
  <si>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</si>
  <si>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</si>
  <si>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</si>
  <si>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</si>
  <si>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</si>
  <si>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</si>
  <si>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</si>
  <si>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</si>
  <si>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</si>
  <si>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</si>
  <si>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</si>
  <si>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</si>
  <si>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</si>
  <si>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</si>
  <si>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</si>
  <si>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</si>
  <si>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</si>
  <si>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</si>
  <si>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</si>
  <si>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</si>
  <si>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</si>
  <si>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</si>
  <si>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</si>
  <si>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</si>
  <si>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</si>
  <si>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</si>
  <si>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</si>
  <si>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</si>
  <si>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</si>
  <si>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</si>
  <si>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</si>
  <si>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</si>
  <si>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</si>
  <si>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</si>
  <si>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</si>
  <si>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</si>
  <si>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</si>
  <si>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</si>
  <si>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</si>
  <si>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</si>
  <si>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</si>
  <si>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</si>
  <si>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</si>
  <si>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</si>
  <si>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</si>
  <si>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</si>
  <si>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</si>
  <si>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</si>
  <si>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</si>
  <si>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</si>
  <si>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</si>
  <si>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</si>
  <si>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</si>
  <si>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</si>
  <si>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</si>
  <si>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</si>
  <si>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</si>
  <si>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</si>
  <si>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</si>
  <si>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</si>
  <si>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</si>
  <si>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</si>
  <si>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</si>
  <si>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</si>
  <si>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</si>
  <si>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</si>
  <si>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</si>
  <si>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</si>
  <si>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</si>
  <si>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</si>
  <si>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</si>
  <si>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</si>
  <si>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</si>
  <si>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</si>
  <si>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</si>
  <si>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</si>
  <si>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</si>
  <si>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</si>
  <si>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</si>
  <si>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</si>
  <si>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</si>
  <si>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</si>
  <si>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</si>
  <si>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</si>
  <si>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</si>
  <si>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</si>
  <si>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</si>
  <si>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</si>
  <si>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</si>
  <si>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</si>
  <si>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</si>
  <si>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</si>
  <si>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</si>
  <si>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</si>
  <si>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</si>
  <si>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</si>
  <si>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</si>
  <si>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</si>
  <si>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</si>
  <si>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</si>
  <si>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</si>
  <si>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</si>
  <si>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</si>
  <si>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</si>
  <si>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</si>
  <si>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</si>
  <si>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</si>
  <si>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</si>
  <si>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</si>
  <si>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</si>
  <si>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</si>
  <si>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</si>
  <si>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</si>
  <si>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</si>
  <si>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</si>
  <si>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</si>
  <si>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</si>
  <si>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</si>
  <si>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</si>
  <si>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</si>
  <si>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</si>
  <si>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</si>
  <si>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</si>
  <si>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</si>
  <si>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</si>
  <si>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</si>
  <si>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</si>
  <si>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</si>
  <si>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</si>
  <si>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</si>
  <si>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</si>
  <si>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</si>
  <si>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</si>
  <si>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</si>
  <si>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</si>
  <si>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</si>
  <si>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</si>
  <si>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</si>
  <si>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</si>
  <si>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</si>
  <si>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</si>
  <si>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</si>
  <si>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</si>
  <si>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</si>
  <si>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</si>
  <si>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</si>
  <si>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</si>
  <si>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</si>
  <si>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</si>
  <si>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</si>
  <si>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</si>
  <si>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</si>
  <si>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</si>
  <si>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</si>
  <si>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</si>
  <si>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</si>
  <si>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</si>
  <si>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</si>
  <si>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</si>
  <si>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</si>
  <si>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</si>
  <si>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</si>
  <si>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</si>
  <si>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</si>
  <si>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</si>
  <si>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</si>
  <si>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</si>
  <si>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</si>
  <si>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</si>
  <si>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</si>
  <si>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</si>
  <si>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</si>
  <si>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</si>
  <si>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</si>
  <si>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</si>
  <si>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</si>
  <si>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</si>
  <si>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</si>
  <si>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</si>
  <si>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</si>
  <si>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</si>
  <si>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</si>
  <si>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</si>
  <si>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</si>
  <si>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</si>
  <si>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</si>
  <si>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</si>
  <si>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</si>
  <si>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</si>
  <si>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</si>
  <si>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</si>
  <si>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</si>
  <si>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Hampstead School District</t>
  </si>
  <si>
    <t>3/24/1</t>
  </si>
  <si>
    <t>Health Trust Refund of $292,296.02 in account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</si>
</sst>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11" xfId="0" quotePrefix="1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223</v>
      </c>
      <c r="C2" s="21">
        <v>223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1893655.96+525</f>
        <v>1894180.96</v>
      </c>
      <c r="G9" s="18">
        <v>93651.11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236348.88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159854.81</v>
      </c>
      <c r="G12" s="18">
        <v>3933.64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33707.629999999997</v>
      </c>
      <c r="G13" s="18"/>
      <c r="H13" s="18">
        <v>60211.68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3275.76</v>
      </c>
      <c r="G14" s="18">
        <v>7369.36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10385.799999999999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2091019.16</v>
      </c>
      <c r="G19" s="41">
        <f>SUM(G9:G18)</f>
        <v>115339.91</v>
      </c>
      <c r="H19" s="41">
        <f>SUM(H9:H18)</f>
        <v>60211.68</v>
      </c>
      <c r="I19" s="41">
        <f>SUM(I9:I18)</f>
        <v>0</v>
      </c>
      <c r="J19" s="41">
        <f>SUM(J9:J18)</f>
        <v>236348.88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106583.58</v>
      </c>
      <c r="H22" s="18">
        <v>53271.23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500000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88839.66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49708.01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14540</v>
      </c>
      <c r="G30" s="18">
        <v>8756.33</v>
      </c>
      <c r="H30" s="18">
        <v>6940.45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653087.67000000004</v>
      </c>
      <c r="G32" s="41">
        <f>SUM(G22:G31)</f>
        <v>115339.91</v>
      </c>
      <c r="H32" s="41">
        <f>SUM(H22:H31)</f>
        <v>60211.68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-10385.799999999999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165085.21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10385.799999999999</v>
      </c>
      <c r="H48" s="18"/>
      <c r="I48" s="18"/>
      <c r="J48" s="13">
        <f>SUM(I459)</f>
        <v>236348.88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1272846.28</f>
        <v>1272846.28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1437931.49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236348.88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2091019.1600000001</v>
      </c>
      <c r="G52" s="41">
        <f>G51+G32</f>
        <v>115339.91</v>
      </c>
      <c r="H52" s="41">
        <f>H51+H32</f>
        <v>60211.68</v>
      </c>
      <c r="I52" s="41">
        <f>I51+I32</f>
        <v>0</v>
      </c>
      <c r="J52" s="41">
        <f>J51+J32</f>
        <v>236348.88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16493217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16493217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49800+4320+68970</f>
        <v>123090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123090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2057.7399999999998</v>
      </c>
      <c r="G96" s="18">
        <v>5.8</v>
      </c>
      <c r="H96" s="18"/>
      <c r="I96" s="18"/>
      <c r="J96" s="18">
        <v>1514.58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200562.79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367.63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292352.62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294777.99</v>
      </c>
      <c r="G111" s="41">
        <f>SUM(G96:G110)</f>
        <v>200568.59</v>
      </c>
      <c r="H111" s="41">
        <f>SUM(H96:H110)</f>
        <v>0</v>
      </c>
      <c r="I111" s="41">
        <f>SUM(I96:I110)</f>
        <v>0</v>
      </c>
      <c r="J111" s="41">
        <f>SUM(J96:J110)</f>
        <v>1514.58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16911084.989999998</v>
      </c>
      <c r="G112" s="41">
        <f>G60+G111</f>
        <v>200568.59</v>
      </c>
      <c r="H112" s="41">
        <f>H60+H79+H94+H111</f>
        <v>0</v>
      </c>
      <c r="I112" s="41">
        <f>I60+I111</f>
        <v>0</v>
      </c>
      <c r="J112" s="41">
        <f>J60+J111</f>
        <v>1514.58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2917502.54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2316863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1169.28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5235534.82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408991.82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3364.51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408991.82</v>
      </c>
      <c r="G136" s="41">
        <f>SUM(G123:G135)</f>
        <v>3364.51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5644526.6400000006</v>
      </c>
      <c r="G140" s="41">
        <f>G121+SUM(G136:G137)</f>
        <v>3364.51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994.66+56947.56</f>
        <v>57942.22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21412.44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49435.43+17364.62</f>
        <v>66800.05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12022.46+278175.01</f>
        <v>290197.47000000003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242278.01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242278.01</v>
      </c>
      <c r="G162" s="41">
        <f>SUM(G150:G161)</f>
        <v>66800.05</v>
      </c>
      <c r="H162" s="41">
        <f>SUM(H150:H161)</f>
        <v>369552.13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242278.01</v>
      </c>
      <c r="G169" s="41">
        <f>G147+G162+SUM(G163:G168)</f>
        <v>66800.05</v>
      </c>
      <c r="H169" s="41">
        <f>H147+H162+SUM(H163:H168)</f>
        <v>369552.13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6722.94</v>
      </c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6722.94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6722.94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22797889.640000001</v>
      </c>
      <c r="G193" s="47">
        <f>G112+G140+G169+G192</f>
        <v>277456.09000000003</v>
      </c>
      <c r="H193" s="47">
        <f>H112+H140+H169+H192</f>
        <v>369552.13</v>
      </c>
      <c r="I193" s="47">
        <f>I112+I140+I169+I192</f>
        <v>0</v>
      </c>
      <c r="J193" s="47">
        <f>J112+J140+J192</f>
        <v>76514.58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2388437.6800000002</v>
      </c>
      <c r="G197" s="18">
        <v>1271873.8</v>
      </c>
      <c r="H197" s="18">
        <v>16886.830000000002</v>
      </c>
      <c r="I197" s="18">
        <v>74580.17</v>
      </c>
      <c r="J197" s="18">
        <v>44045.38</v>
      </c>
      <c r="K197" s="18">
        <v>5845.75</v>
      </c>
      <c r="L197" s="19">
        <f>SUM(F197:K197)</f>
        <v>3801669.6100000003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1104994.17</v>
      </c>
      <c r="G198" s="18">
        <v>588423.62</v>
      </c>
      <c r="H198" s="18">
        <v>27617.55</v>
      </c>
      <c r="I198" s="18">
        <v>6293.78</v>
      </c>
      <c r="J198" s="18">
        <v>1221.22</v>
      </c>
      <c r="K198" s="18">
        <v>875.29</v>
      </c>
      <c r="L198" s="19">
        <f>SUM(F198:K198)</f>
        <v>1729425.6300000001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4301.03</v>
      </c>
      <c r="G200" s="18">
        <v>2290.35</v>
      </c>
      <c r="H200" s="18"/>
      <c r="I200" s="18">
        <v>632.96</v>
      </c>
      <c r="J200" s="18"/>
      <c r="K200" s="18"/>
      <c r="L200" s="19">
        <f>SUM(F200:K200)</f>
        <v>7224.3399999999992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315377.46000000002</v>
      </c>
      <c r="G202" s="18">
        <v>167942.56</v>
      </c>
      <c r="H202" s="18">
        <v>6774.83</v>
      </c>
      <c r="I202" s="18">
        <v>4796.91</v>
      </c>
      <c r="J202" s="18">
        <v>1318.26</v>
      </c>
      <c r="K202" s="18">
        <v>1704.01</v>
      </c>
      <c r="L202" s="19">
        <f t="shared" ref="L202:L208" si="0">SUM(F202:K202)</f>
        <v>497914.03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63294.99</v>
      </c>
      <c r="G203" s="18">
        <v>66252.149999999994</v>
      </c>
      <c r="H203" s="18">
        <v>24325.77</v>
      </c>
      <c r="I203" s="18">
        <v>14602.08</v>
      </c>
      <c r="J203" s="18">
        <v>958.55</v>
      </c>
      <c r="K203" s="18"/>
      <c r="L203" s="19">
        <f t="shared" si="0"/>
        <v>169433.53999999995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2736.81</v>
      </c>
      <c r="G204" s="18">
        <v>1457.38</v>
      </c>
      <c r="H204" s="18">
        <v>133397.87</v>
      </c>
      <c r="I204" s="18">
        <v>141.53</v>
      </c>
      <c r="J204" s="18"/>
      <c r="K204" s="18">
        <v>5442.73</v>
      </c>
      <c r="L204" s="19">
        <f t="shared" si="0"/>
        <v>143176.32000000001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289206.89</v>
      </c>
      <c r="G205" s="18">
        <v>154006.39000000001</v>
      </c>
      <c r="H205" s="18">
        <v>9768.56</v>
      </c>
      <c r="I205" s="18">
        <v>2715.06</v>
      </c>
      <c r="J205" s="18"/>
      <c r="K205" s="18">
        <v>1965</v>
      </c>
      <c r="L205" s="19">
        <f t="shared" si="0"/>
        <v>457661.9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293193.28000000003</v>
      </c>
      <c r="G207" s="18">
        <v>158822.32999999999</v>
      </c>
      <c r="H207" s="18">
        <v>90412.74</v>
      </c>
      <c r="I207" s="18">
        <v>202662.66</v>
      </c>
      <c r="J207" s="18">
        <v>6332.12</v>
      </c>
      <c r="K207" s="18">
        <v>1907.27</v>
      </c>
      <c r="L207" s="19">
        <f t="shared" si="0"/>
        <v>753330.4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276750.37</v>
      </c>
      <c r="I208" s="18"/>
      <c r="J208" s="18"/>
      <c r="K208" s="18"/>
      <c r="L208" s="19">
        <f t="shared" si="0"/>
        <v>276750.37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3431.56</v>
      </c>
      <c r="J209" s="18"/>
      <c r="K209" s="18"/>
      <c r="L209" s="19">
        <f>SUM(F209:K209)</f>
        <v>3431.56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4461542.3100000005</v>
      </c>
      <c r="G211" s="41">
        <f t="shared" si="1"/>
        <v>2411068.58</v>
      </c>
      <c r="H211" s="41">
        <f t="shared" si="1"/>
        <v>585934.52</v>
      </c>
      <c r="I211" s="41">
        <f t="shared" si="1"/>
        <v>309856.71000000002</v>
      </c>
      <c r="J211" s="41">
        <f t="shared" si="1"/>
        <v>53875.530000000006</v>
      </c>
      <c r="K211" s="41">
        <f t="shared" si="1"/>
        <v>17740.05</v>
      </c>
      <c r="L211" s="41">
        <f t="shared" si="1"/>
        <v>7840017.7000000011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2238687.17</v>
      </c>
      <c r="G215" s="18">
        <v>1192129.73</v>
      </c>
      <c r="H215" s="18">
        <v>12824.48</v>
      </c>
      <c r="I215" s="18">
        <v>69160.289999999994</v>
      </c>
      <c r="J215" s="18">
        <v>51197.919999999998</v>
      </c>
      <c r="K215" s="18">
        <v>7030.49</v>
      </c>
      <c r="L215" s="19">
        <f>SUM(F215:K215)</f>
        <v>3571030.08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967179.61</v>
      </c>
      <c r="G216" s="18">
        <v>515035.59</v>
      </c>
      <c r="H216" s="18">
        <v>362905.53</v>
      </c>
      <c r="I216" s="18">
        <v>2488.77</v>
      </c>
      <c r="J216" s="18">
        <v>1121.43</v>
      </c>
      <c r="K216" s="18">
        <v>803.77</v>
      </c>
      <c r="L216" s="19">
        <f>SUM(F216:K216)</f>
        <v>1849534.7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44680.07</v>
      </c>
      <c r="G218" s="18">
        <v>23792.71</v>
      </c>
      <c r="H218" s="18">
        <v>7064</v>
      </c>
      <c r="I218" s="18">
        <v>5919.94</v>
      </c>
      <c r="J218" s="18">
        <v>1166.0999999999999</v>
      </c>
      <c r="K218" s="18">
        <v>3480.5</v>
      </c>
      <c r="L218" s="19">
        <f>SUM(F218:K218)</f>
        <v>86103.32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368073.07</v>
      </c>
      <c r="G220" s="18">
        <v>196003.65</v>
      </c>
      <c r="H220" s="18">
        <v>12734.58</v>
      </c>
      <c r="I220" s="18">
        <v>2386.3200000000002</v>
      </c>
      <c r="J220" s="18">
        <v>888.48</v>
      </c>
      <c r="K220" s="18">
        <v>1564.79</v>
      </c>
      <c r="L220" s="19">
        <f t="shared" ref="L220:L226" si="2">SUM(F220:K220)</f>
        <v>581650.8899999999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51854.03</v>
      </c>
      <c r="G221" s="18">
        <v>57500.43</v>
      </c>
      <c r="H221" s="18">
        <v>22338.2</v>
      </c>
      <c r="I221" s="18">
        <v>12422.45</v>
      </c>
      <c r="J221" s="18">
        <v>2608.81</v>
      </c>
      <c r="K221" s="18"/>
      <c r="L221" s="19">
        <f t="shared" si="2"/>
        <v>146723.92000000001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2513.19</v>
      </c>
      <c r="G222" s="18">
        <v>1338.31</v>
      </c>
      <c r="H222" s="18">
        <v>122498.45</v>
      </c>
      <c r="I222" s="18">
        <v>129.97</v>
      </c>
      <c r="J222" s="18"/>
      <c r="K222" s="18">
        <v>4998.03</v>
      </c>
      <c r="L222" s="19">
        <f t="shared" si="2"/>
        <v>131477.95000000001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337244.76</v>
      </c>
      <c r="G223" s="18">
        <v>179587.17</v>
      </c>
      <c r="H223" s="18">
        <v>10848.75</v>
      </c>
      <c r="I223" s="18">
        <v>2243.9899999999998</v>
      </c>
      <c r="J223" s="18">
        <v>653.70000000000005</v>
      </c>
      <c r="K223" s="18">
        <v>3774.62</v>
      </c>
      <c r="L223" s="19">
        <f t="shared" si="2"/>
        <v>534352.99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291809.15999999997</v>
      </c>
      <c r="G225" s="18">
        <v>157865.23000000001</v>
      </c>
      <c r="H225" s="18">
        <v>83025.47</v>
      </c>
      <c r="I225" s="18">
        <v>186103.87</v>
      </c>
      <c r="J225" s="18">
        <v>5814.74</v>
      </c>
      <c r="K225" s="18">
        <v>1367.08</v>
      </c>
      <c r="L225" s="19">
        <f t="shared" si="2"/>
        <v>725985.54999999993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293334.74</v>
      </c>
      <c r="I226" s="18"/>
      <c r="J226" s="18"/>
      <c r="K226" s="18"/>
      <c r="L226" s="19">
        <f t="shared" si="2"/>
        <v>293334.74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>
        <v>3151.19</v>
      </c>
      <c r="J227" s="18"/>
      <c r="K227" s="18"/>
      <c r="L227" s="19">
        <f>SUM(F227:K227)</f>
        <v>3151.19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4302041.0599999996</v>
      </c>
      <c r="G229" s="41">
        <f>SUM(G215:G228)</f>
        <v>2323252.8199999998</v>
      </c>
      <c r="H229" s="41">
        <f>SUM(H215:H228)</f>
        <v>927574.2</v>
      </c>
      <c r="I229" s="41">
        <f>SUM(I215:I228)</f>
        <v>284006.78999999998</v>
      </c>
      <c r="J229" s="41">
        <f>SUM(J215:J228)</f>
        <v>63451.179999999993</v>
      </c>
      <c r="K229" s="41">
        <f t="shared" si="3"/>
        <v>23019.279999999999</v>
      </c>
      <c r="L229" s="41">
        <f t="shared" si="3"/>
        <v>7923345.330000001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4506299.3600000003</v>
      </c>
      <c r="I233" s="18"/>
      <c r="J233" s="18"/>
      <c r="K233" s="18"/>
      <c r="L233" s="19">
        <f>SUM(F233:K233)</f>
        <v>4506299.3600000003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76058.720000000001</v>
      </c>
      <c r="G234" s="18">
        <v>40502.239999999998</v>
      </c>
      <c r="H234" s="18">
        <v>1302398.54</v>
      </c>
      <c r="I234" s="18"/>
      <c r="J234" s="18"/>
      <c r="K234" s="18"/>
      <c r="L234" s="19">
        <f>SUM(F234:K234)</f>
        <v>1418959.5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89527.5</v>
      </c>
      <c r="I240" s="18"/>
      <c r="J240" s="18"/>
      <c r="K240" s="18"/>
      <c r="L240" s="19">
        <f t="shared" si="4"/>
        <v>89527.5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204793.06</v>
      </c>
      <c r="I244" s="18"/>
      <c r="J244" s="18"/>
      <c r="K244" s="18"/>
      <c r="L244" s="19">
        <f t="shared" si="4"/>
        <v>204793.06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76058.720000000001</v>
      </c>
      <c r="G247" s="41">
        <f t="shared" si="5"/>
        <v>40502.239999999998</v>
      </c>
      <c r="H247" s="41">
        <f t="shared" si="5"/>
        <v>6103018.46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6219579.4199999999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f>5560.38+5106.07</f>
        <v>10666.45</v>
      </c>
      <c r="G253" s="18">
        <f>2960.98+2719.05</f>
        <v>5680.0300000000007</v>
      </c>
      <c r="H253" s="18"/>
      <c r="I253" s="18"/>
      <c r="J253" s="18"/>
      <c r="K253" s="18"/>
      <c r="L253" s="19">
        <f t="shared" si="6"/>
        <v>16346.480000000001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455991.15</v>
      </c>
      <c r="I255" s="18"/>
      <c r="J255" s="18"/>
      <c r="K255" s="18"/>
      <c r="L255" s="19">
        <f t="shared" si="6"/>
        <v>455991.15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10666.45</v>
      </c>
      <c r="G256" s="41">
        <f t="shared" si="7"/>
        <v>5680.0300000000007</v>
      </c>
      <c r="H256" s="41">
        <f t="shared" si="7"/>
        <v>455991.15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472337.63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8850308.540000001</v>
      </c>
      <c r="G257" s="41">
        <f t="shared" si="8"/>
        <v>4780503.6700000009</v>
      </c>
      <c r="H257" s="41">
        <f t="shared" si="8"/>
        <v>8072518.3300000001</v>
      </c>
      <c r="I257" s="41">
        <f t="shared" si="8"/>
        <v>593863.5</v>
      </c>
      <c r="J257" s="41">
        <f t="shared" si="8"/>
        <v>117326.70999999999</v>
      </c>
      <c r="K257" s="41">
        <f t="shared" si="8"/>
        <v>40759.33</v>
      </c>
      <c r="L257" s="41">
        <f t="shared" si="8"/>
        <v>22455280.080000002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6722.94</v>
      </c>
      <c r="L263" s="19">
        <f>SUM(F263:K263)</f>
        <v>6722.94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81722.94</v>
      </c>
      <c r="L270" s="41">
        <f t="shared" si="9"/>
        <v>81722.94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8850308.540000001</v>
      </c>
      <c r="G271" s="42">
        <f t="shared" si="11"/>
        <v>4780503.6700000009</v>
      </c>
      <c r="H271" s="42">
        <f t="shared" si="11"/>
        <v>8072518.3300000001</v>
      </c>
      <c r="I271" s="42">
        <f t="shared" si="11"/>
        <v>593863.5</v>
      </c>
      <c r="J271" s="42">
        <f t="shared" si="11"/>
        <v>117326.70999999999</v>
      </c>
      <c r="K271" s="42">
        <f t="shared" si="11"/>
        <v>122482.27</v>
      </c>
      <c r="L271" s="42">
        <f t="shared" si="11"/>
        <v>22537003.020000003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30957.72</v>
      </c>
      <c r="G276" s="18"/>
      <c r="H276" s="18"/>
      <c r="I276" s="18">
        <v>660.31</v>
      </c>
      <c r="J276" s="18"/>
      <c r="K276" s="18"/>
      <c r="L276" s="19">
        <f>SUM(F276:K276)</f>
        <v>31618.030000000002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106917.15</v>
      </c>
      <c r="G277" s="18">
        <v>8339.25</v>
      </c>
      <c r="H277" s="18"/>
      <c r="I277" s="18">
        <v>4177.24</v>
      </c>
      <c r="J277" s="18">
        <v>7063.89</v>
      </c>
      <c r="K277" s="18"/>
      <c r="L277" s="19">
        <f>SUM(F277:K277)</f>
        <v>126497.53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2092.77</v>
      </c>
      <c r="G281" s="18"/>
      <c r="H281" s="18">
        <v>4073.93</v>
      </c>
      <c r="I281" s="18"/>
      <c r="J281" s="18"/>
      <c r="K281" s="18"/>
      <c r="L281" s="19">
        <f t="shared" ref="L281:L287" si="12">SUM(F281:K281)</f>
        <v>6166.7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11910.58</v>
      </c>
      <c r="G282" s="18"/>
      <c r="H282" s="18">
        <v>16453.419999999998</v>
      </c>
      <c r="I282" s="18"/>
      <c r="J282" s="18"/>
      <c r="K282" s="18"/>
      <c r="L282" s="19">
        <f t="shared" si="12"/>
        <v>28364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151878.21999999997</v>
      </c>
      <c r="G290" s="42">
        <f t="shared" si="13"/>
        <v>8339.25</v>
      </c>
      <c r="H290" s="42">
        <f t="shared" si="13"/>
        <v>20527.349999999999</v>
      </c>
      <c r="I290" s="42">
        <f t="shared" si="13"/>
        <v>4837.5499999999993</v>
      </c>
      <c r="J290" s="42">
        <f t="shared" si="13"/>
        <v>7063.89</v>
      </c>
      <c r="K290" s="42">
        <f t="shared" si="13"/>
        <v>0</v>
      </c>
      <c r="L290" s="41">
        <f t="shared" si="13"/>
        <v>192646.26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28428.28</v>
      </c>
      <c r="G295" s="18"/>
      <c r="H295" s="18"/>
      <c r="I295" s="18">
        <v>606.35</v>
      </c>
      <c r="J295" s="18"/>
      <c r="K295" s="18"/>
      <c r="L295" s="19">
        <f>SUM(F295:K295)</f>
        <v>29034.629999999997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98181.36</v>
      </c>
      <c r="G296" s="18">
        <v>7657.88</v>
      </c>
      <c r="H296" s="18"/>
      <c r="I296" s="18">
        <v>3835.93</v>
      </c>
      <c r="J296" s="18">
        <v>6486.72</v>
      </c>
      <c r="K296" s="18"/>
      <c r="L296" s="19">
        <f>SUM(F296:K296)</f>
        <v>116161.89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1921.78</v>
      </c>
      <c r="G300" s="18"/>
      <c r="H300" s="18">
        <v>3741.07</v>
      </c>
      <c r="I300" s="18"/>
      <c r="J300" s="18"/>
      <c r="K300" s="18"/>
      <c r="L300" s="19">
        <f t="shared" ref="L300:L306" si="14">SUM(F300:K300)</f>
        <v>5662.85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10937.42</v>
      </c>
      <c r="G301" s="18"/>
      <c r="H301" s="18">
        <v>15109.08</v>
      </c>
      <c r="I301" s="18"/>
      <c r="J301" s="18"/>
      <c r="K301" s="18"/>
      <c r="L301" s="19">
        <f t="shared" si="14"/>
        <v>26046.5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139468.84</v>
      </c>
      <c r="G309" s="42">
        <f t="shared" si="15"/>
        <v>7657.88</v>
      </c>
      <c r="H309" s="42">
        <f t="shared" si="15"/>
        <v>18850.150000000001</v>
      </c>
      <c r="I309" s="42">
        <f t="shared" si="15"/>
        <v>4442.28</v>
      </c>
      <c r="J309" s="42">
        <f t="shared" si="15"/>
        <v>6486.72</v>
      </c>
      <c r="K309" s="42">
        <f t="shared" si="15"/>
        <v>0</v>
      </c>
      <c r="L309" s="41">
        <f t="shared" si="15"/>
        <v>176905.87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291347.05999999994</v>
      </c>
      <c r="G338" s="41">
        <f t="shared" si="20"/>
        <v>15997.130000000001</v>
      </c>
      <c r="H338" s="41">
        <f t="shared" si="20"/>
        <v>39377.5</v>
      </c>
      <c r="I338" s="41">
        <f t="shared" si="20"/>
        <v>9279.8299999999981</v>
      </c>
      <c r="J338" s="41">
        <f t="shared" si="20"/>
        <v>13550.61</v>
      </c>
      <c r="K338" s="41">
        <f t="shared" si="20"/>
        <v>0</v>
      </c>
      <c r="L338" s="41">
        <f t="shared" si="20"/>
        <v>369552.13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291347.05999999994</v>
      </c>
      <c r="G352" s="41">
        <f>G338</f>
        <v>15997.130000000001</v>
      </c>
      <c r="H352" s="41">
        <f>H338</f>
        <v>39377.5</v>
      </c>
      <c r="I352" s="41">
        <f>I338</f>
        <v>9279.8299999999981</v>
      </c>
      <c r="J352" s="41">
        <f>J338</f>
        <v>13550.61</v>
      </c>
      <c r="K352" s="47">
        <f>K338+K351</f>
        <v>0</v>
      </c>
      <c r="L352" s="41">
        <f>L338+L351</f>
        <v>369552.13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83180.28</v>
      </c>
      <c r="G358" s="18">
        <v>2804.85</v>
      </c>
      <c r="H358" s="18"/>
      <c r="I358" s="18">
        <v>68827.59</v>
      </c>
      <c r="J358" s="18"/>
      <c r="K358" s="18">
        <v>2409.41</v>
      </c>
      <c r="L358" s="13">
        <f>SUM(F358:K358)</f>
        <v>157222.13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53029.3</v>
      </c>
      <c r="G359" s="18">
        <v>1788.16</v>
      </c>
      <c r="H359" s="18"/>
      <c r="I359" s="18">
        <v>63203.95</v>
      </c>
      <c r="J359" s="18"/>
      <c r="K359" s="18">
        <v>2212.5500000000002</v>
      </c>
      <c r="L359" s="19">
        <f>SUM(F359:K359)</f>
        <v>120233.96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136209.58000000002</v>
      </c>
      <c r="G362" s="47">
        <f t="shared" si="22"/>
        <v>4593.01</v>
      </c>
      <c r="H362" s="47">
        <f t="shared" si="22"/>
        <v>0</v>
      </c>
      <c r="I362" s="47">
        <f t="shared" si="22"/>
        <v>132031.53999999998</v>
      </c>
      <c r="J362" s="47">
        <f t="shared" si="22"/>
        <v>0</v>
      </c>
      <c r="K362" s="47">
        <f t="shared" si="22"/>
        <v>4621.96</v>
      </c>
      <c r="L362" s="47">
        <f t="shared" si="22"/>
        <v>277456.09000000003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47221</v>
      </c>
      <c r="G367" s="18">
        <v>43362.75</v>
      </c>
      <c r="H367" s="18"/>
      <c r="I367" s="56">
        <f>SUM(F367:H367)</f>
        <v>90583.75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21606.59</v>
      </c>
      <c r="G368" s="63">
        <v>19841.2</v>
      </c>
      <c r="H368" s="63"/>
      <c r="I368" s="56">
        <f>SUM(F368:H368)</f>
        <v>41447.79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68827.59</v>
      </c>
      <c r="G369" s="47">
        <f>SUM(G367:G368)</f>
        <v>63203.95</v>
      </c>
      <c r="H369" s="47">
        <f>SUM(H367:H368)</f>
        <v>0</v>
      </c>
      <c r="I369" s="47">
        <f>SUM(I367:I368)</f>
        <v>132031.54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75000</v>
      </c>
      <c r="H388" s="18">
        <v>1514.58</v>
      </c>
      <c r="I388" s="18"/>
      <c r="J388" s="24" t="s">
        <v>289</v>
      </c>
      <c r="K388" s="24" t="s">
        <v>289</v>
      </c>
      <c r="L388" s="56">
        <f t="shared" si="25"/>
        <v>76514.58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75000</v>
      </c>
      <c r="H393" s="139">
        <f>SUM(H387:H392)</f>
        <v>1514.58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76514.58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1514.58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76514.58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236348.88</v>
      </c>
      <c r="G440" s="18"/>
      <c r="H440" s="18"/>
      <c r="I440" s="56">
        <f t="shared" si="33"/>
        <v>236348.88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236348.88</v>
      </c>
      <c r="G446" s="13">
        <f>SUM(G439:G445)</f>
        <v>0</v>
      </c>
      <c r="H446" s="13">
        <f>SUM(H439:H445)</f>
        <v>0</v>
      </c>
      <c r="I446" s="13">
        <f>SUM(I439:I445)</f>
        <v>236348.88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236348.88</v>
      </c>
      <c r="G459" s="18"/>
      <c r="H459" s="18"/>
      <c r="I459" s="56">
        <f t="shared" si="34"/>
        <v>236348.88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236348.88</v>
      </c>
      <c r="G460" s="83">
        <f>SUM(G454:G459)</f>
        <v>0</v>
      </c>
      <c r="H460" s="83">
        <f>SUM(H454:H459)</f>
        <v>0</v>
      </c>
      <c r="I460" s="83">
        <f>SUM(I454:I459)</f>
        <v>236348.88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236348.88</v>
      </c>
      <c r="G461" s="42">
        <f>G452+G460</f>
        <v>0</v>
      </c>
      <c r="H461" s="42">
        <f>H452+H460</f>
        <v>0</v>
      </c>
      <c r="I461" s="42">
        <f>I452+I460</f>
        <v>236348.88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1177044.8700000001</v>
      </c>
      <c r="G465" s="18">
        <v>0</v>
      </c>
      <c r="H465" s="18">
        <v>0</v>
      </c>
      <c r="I465" s="18"/>
      <c r="J465" s="18">
        <v>159834.29999999999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22797889.640000001</v>
      </c>
      <c r="G468" s="18">
        <v>277456.09000000003</v>
      </c>
      <c r="H468" s="18">
        <v>369552.13</v>
      </c>
      <c r="I468" s="18"/>
      <c r="J468" s="18">
        <v>76514.58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22797889.640000001</v>
      </c>
      <c r="G470" s="53">
        <f>SUM(G468:G469)</f>
        <v>277456.09000000003</v>
      </c>
      <c r="H470" s="53">
        <f>SUM(H468:H469)</f>
        <v>369552.13</v>
      </c>
      <c r="I470" s="53">
        <f>SUM(I468:I469)</f>
        <v>0</v>
      </c>
      <c r="J470" s="53">
        <f>SUM(J468:J469)</f>
        <v>76514.58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22537003.02</v>
      </c>
      <c r="G472" s="18">
        <v>277456.09000000003</v>
      </c>
      <c r="H472" s="18">
        <v>369552.13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22537003.02</v>
      </c>
      <c r="G474" s="53">
        <f>SUM(G472:G473)</f>
        <v>277456.09000000003</v>
      </c>
      <c r="H474" s="53">
        <f>SUM(H472:H473)</f>
        <v>369552.13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1437931.4900000021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236348.88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1105675.53</v>
      </c>
      <c r="G521" s="18">
        <v>540190.93999999994</v>
      </c>
      <c r="H521" s="18">
        <v>27617.55</v>
      </c>
      <c r="I521" s="18">
        <v>9865.93</v>
      </c>
      <c r="J521" s="18">
        <v>8285.11</v>
      </c>
      <c r="K521" s="18">
        <v>875.29</v>
      </c>
      <c r="L521" s="88">
        <f>SUM(F521:K521)</f>
        <v>1692510.35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947321.2</v>
      </c>
      <c r="G522" s="18">
        <v>459835.77</v>
      </c>
      <c r="H522" s="18">
        <v>362905.53</v>
      </c>
      <c r="I522" s="18">
        <v>6020.96</v>
      </c>
      <c r="J522" s="18">
        <v>7608.15</v>
      </c>
      <c r="K522" s="18">
        <v>803.77</v>
      </c>
      <c r="L522" s="88">
        <f>SUM(F522:K522)</f>
        <v>1784495.38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52450.76</v>
      </c>
      <c r="G523" s="18">
        <v>27930.78</v>
      </c>
      <c r="H523" s="18">
        <v>1302398.54</v>
      </c>
      <c r="I523" s="18"/>
      <c r="J523" s="18"/>
      <c r="K523" s="18"/>
      <c r="L523" s="88">
        <f>SUM(F523:K523)</f>
        <v>1382780.08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2105447.4899999998</v>
      </c>
      <c r="G524" s="108">
        <f t="shared" ref="G524:L524" si="36">SUM(G521:G523)</f>
        <v>1027957.49</v>
      </c>
      <c r="H524" s="108">
        <f t="shared" si="36"/>
        <v>1692921.62</v>
      </c>
      <c r="I524" s="108">
        <f t="shared" si="36"/>
        <v>15886.89</v>
      </c>
      <c r="J524" s="108">
        <f t="shared" si="36"/>
        <v>15893.26</v>
      </c>
      <c r="K524" s="108">
        <f t="shared" si="36"/>
        <v>1679.06</v>
      </c>
      <c r="L524" s="89">
        <f t="shared" si="36"/>
        <v>4859785.8100000005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375423.73</v>
      </c>
      <c r="G526" s="18">
        <v>199917.97</v>
      </c>
      <c r="H526" s="18">
        <v>127.5</v>
      </c>
      <c r="I526" s="18">
        <v>1266.17</v>
      </c>
      <c r="J526" s="18">
        <v>503.92</v>
      </c>
      <c r="K526" s="18">
        <v>1089.5999999999999</v>
      </c>
      <c r="L526" s="88">
        <f>SUM(F526:K526)</f>
        <v>578328.89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166944.31</v>
      </c>
      <c r="G527" s="18">
        <v>88899.99</v>
      </c>
      <c r="H527" s="18">
        <v>127.5</v>
      </c>
      <c r="I527" s="18">
        <v>1266.17</v>
      </c>
      <c r="J527" s="18">
        <v>503.92</v>
      </c>
      <c r="K527" s="18">
        <v>1089.5999999999999</v>
      </c>
      <c r="L527" s="88">
        <f>SUM(F527:K527)</f>
        <v>258831.49000000002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14736.58</v>
      </c>
      <c r="G528" s="18">
        <v>7847.42</v>
      </c>
      <c r="H528" s="18">
        <v>2625</v>
      </c>
      <c r="I528" s="18"/>
      <c r="J528" s="18"/>
      <c r="K528" s="18">
        <v>1089.5999999999999</v>
      </c>
      <c r="L528" s="88">
        <f>SUM(F528:K528)</f>
        <v>26298.6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557104.62</v>
      </c>
      <c r="G529" s="89">
        <f t="shared" ref="G529:L529" si="37">SUM(G526:G528)</f>
        <v>296665.38</v>
      </c>
      <c r="H529" s="89">
        <f t="shared" si="37"/>
        <v>2880</v>
      </c>
      <c r="I529" s="89">
        <f t="shared" si="37"/>
        <v>2532.34</v>
      </c>
      <c r="J529" s="89">
        <f t="shared" si="37"/>
        <v>1007.84</v>
      </c>
      <c r="K529" s="89">
        <f t="shared" si="37"/>
        <v>3268.7999999999997</v>
      </c>
      <c r="L529" s="89">
        <f t="shared" si="37"/>
        <v>863458.98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106235.79</v>
      </c>
      <c r="G531" s="18">
        <v>56571.93</v>
      </c>
      <c r="H531" s="18"/>
      <c r="I531" s="18">
        <v>605.09</v>
      </c>
      <c r="J531" s="18"/>
      <c r="K531" s="18"/>
      <c r="L531" s="88">
        <f>SUM(F531:K531)</f>
        <v>163412.81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118039.77</v>
      </c>
      <c r="G532" s="18">
        <v>62857.7</v>
      </c>
      <c r="H532" s="18"/>
      <c r="I532" s="18">
        <v>303.74</v>
      </c>
      <c r="J532" s="18"/>
      <c r="K532" s="18"/>
      <c r="L532" s="88">
        <f>SUM(F532:K532)</f>
        <v>181201.21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23607.95</v>
      </c>
      <c r="G533" s="18">
        <v>12571.54</v>
      </c>
      <c r="H533" s="18"/>
      <c r="I533" s="18"/>
      <c r="J533" s="18"/>
      <c r="K533" s="18"/>
      <c r="L533" s="88">
        <f>SUM(F533:K533)</f>
        <v>36179.490000000005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247883.51</v>
      </c>
      <c r="G534" s="89">
        <f t="shared" ref="G534:L534" si="38">SUM(G531:G533)</f>
        <v>132001.17000000001</v>
      </c>
      <c r="H534" s="89">
        <f t="shared" si="38"/>
        <v>0</v>
      </c>
      <c r="I534" s="89">
        <f t="shared" si="38"/>
        <v>908.83</v>
      </c>
      <c r="J534" s="89">
        <f t="shared" si="38"/>
        <v>0</v>
      </c>
      <c r="K534" s="89">
        <f t="shared" si="38"/>
        <v>0</v>
      </c>
      <c r="L534" s="89">
        <f t="shared" si="38"/>
        <v>380793.51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5623.08</v>
      </c>
      <c r="I536" s="18"/>
      <c r="J536" s="18"/>
      <c r="K536" s="18"/>
      <c r="L536" s="88">
        <f>SUM(F536:K536)</f>
        <v>5623.08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5623.08</v>
      </c>
      <c r="I537" s="18"/>
      <c r="J537" s="18"/>
      <c r="K537" s="18"/>
      <c r="L537" s="88">
        <f>SUM(F537:K537)</f>
        <v>5623.08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11246.16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11246.16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103278.39</v>
      </c>
      <c r="I541" s="18"/>
      <c r="J541" s="18"/>
      <c r="K541" s="18"/>
      <c r="L541" s="88">
        <f>SUM(F541:K541)</f>
        <v>103278.39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123934.07</v>
      </c>
      <c r="I542" s="18"/>
      <c r="J542" s="18"/>
      <c r="K542" s="18"/>
      <c r="L542" s="88">
        <f>SUM(F542:K542)</f>
        <v>123934.07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30983.52</v>
      </c>
      <c r="I543" s="18"/>
      <c r="J543" s="18"/>
      <c r="K543" s="18"/>
      <c r="L543" s="88">
        <f>SUM(F543:K543)</f>
        <v>30983.52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258195.98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258195.98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2910435.62</v>
      </c>
      <c r="G545" s="89">
        <f t="shared" ref="G545:L545" si="41">G524+G529+G534+G539+G544</f>
        <v>1456624.04</v>
      </c>
      <c r="H545" s="89">
        <f t="shared" si="41"/>
        <v>1965243.76</v>
      </c>
      <c r="I545" s="89">
        <f t="shared" si="41"/>
        <v>19328.060000000001</v>
      </c>
      <c r="J545" s="89">
        <f t="shared" si="41"/>
        <v>16901.099999999999</v>
      </c>
      <c r="K545" s="89">
        <f t="shared" si="41"/>
        <v>4947.8599999999997</v>
      </c>
      <c r="L545" s="89">
        <f t="shared" si="41"/>
        <v>6373480.4400000013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1692510.35</v>
      </c>
      <c r="G549" s="87">
        <f>L526</f>
        <v>578328.89</v>
      </c>
      <c r="H549" s="87">
        <f>L531</f>
        <v>163412.81</v>
      </c>
      <c r="I549" s="87">
        <f>L536</f>
        <v>5623.08</v>
      </c>
      <c r="J549" s="87">
        <f>L541</f>
        <v>103278.39</v>
      </c>
      <c r="K549" s="87">
        <f>SUM(F549:J549)</f>
        <v>2543153.5200000005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1784495.38</v>
      </c>
      <c r="G550" s="87">
        <f>L527</f>
        <v>258831.49000000002</v>
      </c>
      <c r="H550" s="87">
        <f>L532</f>
        <v>181201.21</v>
      </c>
      <c r="I550" s="87">
        <f>L537</f>
        <v>5623.08</v>
      </c>
      <c r="J550" s="87">
        <f>L542</f>
        <v>123934.07</v>
      </c>
      <c r="K550" s="87">
        <f>SUM(F550:J550)</f>
        <v>2354085.23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1382780.08</v>
      </c>
      <c r="G551" s="87">
        <f>L528</f>
        <v>26298.6</v>
      </c>
      <c r="H551" s="87">
        <f>L533</f>
        <v>36179.490000000005</v>
      </c>
      <c r="I551" s="87">
        <f>L538</f>
        <v>0</v>
      </c>
      <c r="J551" s="87">
        <f>L543</f>
        <v>30983.52</v>
      </c>
      <c r="K551" s="87">
        <f>SUM(F551:J551)</f>
        <v>1476241.6900000002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4859785.8100000005</v>
      </c>
      <c r="G552" s="89">
        <f t="shared" si="42"/>
        <v>863458.98</v>
      </c>
      <c r="H552" s="89">
        <f t="shared" si="42"/>
        <v>380793.51</v>
      </c>
      <c r="I552" s="89">
        <f t="shared" si="42"/>
        <v>11246.16</v>
      </c>
      <c r="J552" s="89">
        <f t="shared" si="42"/>
        <v>258195.98</v>
      </c>
      <c r="K552" s="89">
        <f t="shared" si="42"/>
        <v>6373480.4400000004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f>4506299.36</f>
        <v>4506299.3600000003</v>
      </c>
      <c r="I577" s="87">
        <f t="shared" si="47"/>
        <v>4506299.3600000003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46928.99</v>
      </c>
      <c r="I579" s="87">
        <f t="shared" si="47"/>
        <v>46928.99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f>762987.74+6928.99</f>
        <v>769916.73</v>
      </c>
      <c r="I581" s="87">
        <f t="shared" si="47"/>
        <v>769916.73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335140.58</v>
      </c>
      <c r="H582" s="18">
        <v>352618.06</v>
      </c>
      <c r="I582" s="87">
        <f t="shared" si="47"/>
        <v>687758.64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120541.25</v>
      </c>
      <c r="I583" s="87">
        <f t="shared" si="47"/>
        <v>120541.25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173471.98</v>
      </c>
      <c r="I591" s="18">
        <v>159298.25</v>
      </c>
      <c r="J591" s="18">
        <v>173809.54</v>
      </c>
      <c r="K591" s="104">
        <f t="shared" ref="K591:K597" si="48">SUM(H591:J591)</f>
        <v>506579.77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103278.39</v>
      </c>
      <c r="I592" s="18">
        <v>123934.07</v>
      </c>
      <c r="J592" s="18">
        <v>30983.52</v>
      </c>
      <c r="K592" s="104">
        <f t="shared" si="48"/>
        <v>258195.98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8627.8700000000008</v>
      </c>
      <c r="J594" s="18"/>
      <c r="K594" s="104">
        <f t="shared" si="48"/>
        <v>8627.8700000000008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1474.55</v>
      </c>
      <c r="J595" s="18"/>
      <c r="K595" s="104">
        <f t="shared" si="48"/>
        <v>1474.55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276750.37</v>
      </c>
      <c r="I598" s="108">
        <f>SUM(I591:I597)</f>
        <v>293334.74</v>
      </c>
      <c r="J598" s="108">
        <f>SUM(J591:J597)</f>
        <v>204793.06</v>
      </c>
      <c r="K598" s="108">
        <f>SUM(K591:K597)</f>
        <v>774878.17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2479.91+56071.25</f>
        <v>58551.16</v>
      </c>
      <c r="I604" s="18">
        <f>16254.91+56071.25</f>
        <v>72326.16</v>
      </c>
      <c r="J604" s="18"/>
      <c r="K604" s="104">
        <f>SUM(H604:J604)</f>
        <v>130877.32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58551.16</v>
      </c>
      <c r="I605" s="108">
        <f>SUM(I602:I604)</f>
        <v>72326.16</v>
      </c>
      <c r="J605" s="108">
        <f>SUM(J602:J604)</f>
        <v>0</v>
      </c>
      <c r="K605" s="108">
        <f>SUM(K602:K604)</f>
        <v>130877.32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2091019.16</v>
      </c>
      <c r="H617" s="109">
        <f>SUM(F52)</f>
        <v>2091019.1600000001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115339.91</v>
      </c>
      <c r="H618" s="109">
        <f>SUM(G52)</f>
        <v>115339.91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60211.68</v>
      </c>
      <c r="H619" s="109">
        <f>SUM(H52)</f>
        <v>60211.68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236348.88</v>
      </c>
      <c r="H621" s="109">
        <f>SUM(J52)</f>
        <v>236348.88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1437931.49</v>
      </c>
      <c r="H622" s="109">
        <f>F476</f>
        <v>1437931.4900000021</v>
      </c>
      <c r="I622" s="121" t="s">
        <v>101</v>
      </c>
      <c r="J622" s="109">
        <f t="shared" ref="J622:J655" si="50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236348.88</v>
      </c>
      <c r="H626" s="109">
        <f>J476</f>
        <v>236348.88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22797889.640000001</v>
      </c>
      <c r="H627" s="104">
        <f>SUM(F468)</f>
        <v>22797889.640000001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277456.09000000003</v>
      </c>
      <c r="H628" s="104">
        <f>SUM(G468)</f>
        <v>277456.09000000003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369552.13</v>
      </c>
      <c r="H629" s="104">
        <f>SUM(H468)</f>
        <v>369552.13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76514.58</v>
      </c>
      <c r="H631" s="104">
        <f>SUM(J468)</f>
        <v>76514.58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22537003.020000003</v>
      </c>
      <c r="H632" s="104">
        <f>SUM(F472)</f>
        <v>22537003.02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369552.13</v>
      </c>
      <c r="H633" s="104">
        <f>SUM(H472)</f>
        <v>369552.13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132031.53999999998</v>
      </c>
      <c r="H634" s="104">
        <f>I369</f>
        <v>132031.54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277456.09000000003</v>
      </c>
      <c r="H635" s="104">
        <f>SUM(G472)</f>
        <v>277456.09000000003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76514.58</v>
      </c>
      <c r="H637" s="164">
        <f>SUM(J468)</f>
        <v>76514.58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236348.88</v>
      </c>
      <c r="H639" s="104">
        <f>SUM(F461)</f>
        <v>236348.88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236348.88</v>
      </c>
      <c r="H642" s="104">
        <f>SUM(I461)</f>
        <v>236348.88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1514.58</v>
      </c>
      <c r="H644" s="104">
        <f>H408</f>
        <v>1514.58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76514.58</v>
      </c>
      <c r="H646" s="104">
        <f>L408</f>
        <v>76514.58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774878.17</v>
      </c>
      <c r="H647" s="104">
        <f>L208+L226+L244</f>
        <v>774878.16999999993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130877.32</v>
      </c>
      <c r="H648" s="104">
        <f>(J257+J338)-(J255+J336)</f>
        <v>130877.31999999999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276750.37</v>
      </c>
      <c r="H649" s="104">
        <f>H598</f>
        <v>276750.37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293334.74</v>
      </c>
      <c r="H650" s="104">
        <f>I598</f>
        <v>293334.74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204793.06</v>
      </c>
      <c r="H651" s="104">
        <f>J598</f>
        <v>204793.06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6722.94</v>
      </c>
      <c r="H652" s="104">
        <f>K263+K345</f>
        <v>6722.94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8189886.0900000008</v>
      </c>
      <c r="G660" s="19">
        <f>(L229+L309+L359)</f>
        <v>8220485.1600000011</v>
      </c>
      <c r="H660" s="19">
        <f>(L247+L328+L360)</f>
        <v>6219579.4199999999</v>
      </c>
      <c r="I660" s="19">
        <f>SUM(F660:H660)</f>
        <v>22629950.670000002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113650.08799245568</v>
      </c>
      <c r="G661" s="19">
        <f>(L359/IF(SUM(L358:L360)=0,1,SUM(L358:L360))*(SUM(G97:G110)))</f>
        <v>86912.702007544329</v>
      </c>
      <c r="H661" s="19">
        <f>(L360/IF(SUM(L358:L360)=0,1,SUM(L358:L360))*(SUM(G97:G110)))</f>
        <v>0</v>
      </c>
      <c r="I661" s="19">
        <f>SUM(F661:H661)</f>
        <v>200562.79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276750.37</v>
      </c>
      <c r="G662" s="19">
        <f>(L226+L306)-(J226+J306)</f>
        <v>293334.74</v>
      </c>
      <c r="H662" s="19">
        <f>(L244+L325)-(J244+J325)</f>
        <v>204793.06</v>
      </c>
      <c r="I662" s="19">
        <f>SUM(F662:H662)</f>
        <v>774878.16999999993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58551.16</v>
      </c>
      <c r="G663" s="199">
        <f>SUM(G575:G587)+SUM(I602:I604)+L612</f>
        <v>407466.74</v>
      </c>
      <c r="H663" s="199">
        <f>SUM(H575:H587)+SUM(J602:J604)+L613</f>
        <v>5796304.3899999997</v>
      </c>
      <c r="I663" s="19">
        <f>SUM(F663:H663)</f>
        <v>6262322.29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7740934.4720075447</v>
      </c>
      <c r="G664" s="19">
        <f>G660-SUM(G661:G663)</f>
        <v>7432770.9779924564</v>
      </c>
      <c r="H664" s="19">
        <f>H660-SUM(H661:H663)</f>
        <v>218481.97000000067</v>
      </c>
      <c r="I664" s="19">
        <f>I660-SUM(I661:I663)</f>
        <v>15392187.420000002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447.09</v>
      </c>
      <c r="G665" s="248">
        <v>410.56</v>
      </c>
      <c r="H665" s="248"/>
      <c r="I665" s="19">
        <f>SUM(F665:H665)</f>
        <v>857.65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17314.04</v>
      </c>
      <c r="G667" s="19">
        <f>ROUND(G664/G665,2)</f>
        <v>18103.98</v>
      </c>
      <c r="H667" s="19" t="e">
        <f>ROUND(H664/H665,2)</f>
        <v>#DIV/0!</v>
      </c>
      <c r="I667" s="19">
        <f>ROUND(I664/I665,2)</f>
        <v>17946.93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-218481.97</v>
      </c>
      <c r="I669" s="19">
        <f>SUM(F669:H669)</f>
        <v>-218481.97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17314.04</v>
      </c>
      <c r="G672" s="19">
        <f>ROUND((G664+G669)/(G665+G670),2)</f>
        <v>18103.98</v>
      </c>
      <c r="H672" s="19" t="e">
        <f>ROUND((H664+H669)/(H665+H670),2)</f>
        <v>#DIV/0!</v>
      </c>
      <c r="I672" s="19">
        <f>ROUND((I664+I669)/(I665+I670),2)</f>
        <v>17692.189999999999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25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Hampstead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4686510.8499999996</v>
      </c>
      <c r="C9" s="229">
        <f>'DOE25'!G197+'DOE25'!G215+'DOE25'!G233+'DOE25'!G276+'DOE25'!G295+'DOE25'!G314</f>
        <v>2464003.5300000003</v>
      </c>
    </row>
    <row r="10" spans="1:3" x14ac:dyDescent="0.2">
      <c r="A10" t="s">
        <v>779</v>
      </c>
      <c r="B10" s="240">
        <v>4198561.58</v>
      </c>
      <c r="C10" s="240">
        <f>(B10/B9)*C9</f>
        <v>2207456.8661336568</v>
      </c>
    </row>
    <row r="11" spans="1:3" x14ac:dyDescent="0.2">
      <c r="A11" t="s">
        <v>780</v>
      </c>
      <c r="B11" s="240">
        <v>191603.24</v>
      </c>
      <c r="C11" s="240">
        <f>(B11/B10)*C10</f>
        <v>100738.28373179532</v>
      </c>
    </row>
    <row r="12" spans="1:3" x14ac:dyDescent="0.2">
      <c r="A12" t="s">
        <v>781</v>
      </c>
      <c r="B12" s="240">
        <f>B9-B10-B11</f>
        <v>296346.02999999956</v>
      </c>
      <c r="C12" s="240">
        <f>C9-C10-C11</f>
        <v>155808.38013454812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4686510.8499999996</v>
      </c>
      <c r="C13" s="231">
        <f>SUM(C10:C12)</f>
        <v>2464003.5300000003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2353331.0099999998</v>
      </c>
      <c r="C18" s="229">
        <f>'DOE25'!G198+'DOE25'!G216+'DOE25'!G234+'DOE25'!G277+'DOE25'!G296+'DOE25'!G315</f>
        <v>1159958.5799999998</v>
      </c>
    </row>
    <row r="19" spans="1:3" x14ac:dyDescent="0.2">
      <c r="A19" t="s">
        <v>779</v>
      </c>
      <c r="B19" s="240">
        <v>1242002.8799999999</v>
      </c>
      <c r="C19" s="240">
        <f>(B19/B18)*C18</f>
        <v>612184.13003477582</v>
      </c>
    </row>
    <row r="20" spans="1:3" x14ac:dyDescent="0.2">
      <c r="A20" t="s">
        <v>780</v>
      </c>
      <c r="B20" s="240">
        <v>835249.77</v>
      </c>
      <c r="C20" s="240">
        <f>(B20/B19)*C19</f>
        <v>411695.22393474373</v>
      </c>
    </row>
    <row r="21" spans="1:3" x14ac:dyDescent="0.2">
      <c r="A21" t="s">
        <v>781</v>
      </c>
      <c r="B21" s="240">
        <f>B18-B19-B20</f>
        <v>276078.35999999987</v>
      </c>
      <c r="C21" s="240">
        <f>C18-C19-C20</f>
        <v>136079.22603048029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2353331.0099999998</v>
      </c>
      <c r="C22" s="231">
        <f>SUM(C19:C21)</f>
        <v>1159958.5799999998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48981.1</v>
      </c>
      <c r="C36" s="235">
        <f>'DOE25'!G200+'DOE25'!G218+'DOE25'!G236+'DOE25'!G279+'DOE25'!G298+'DOE25'!G317</f>
        <v>26083.059999999998</v>
      </c>
    </row>
    <row r="37" spans="1:3" x14ac:dyDescent="0.2">
      <c r="A37" t="s">
        <v>779</v>
      </c>
      <c r="B37" s="240">
        <v>45881.1</v>
      </c>
      <c r="C37" s="240">
        <f>(B37/B36)*C36</f>
        <v>24432.270491393618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B36-B37</f>
        <v>3100</v>
      </c>
      <c r="C39" s="240">
        <f>C36-C37</f>
        <v>1650.78950860638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48981.1</v>
      </c>
      <c r="C40" s="231">
        <f>SUM(C37:C39)</f>
        <v>26083.059999999998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70" zoomScaleNormal="70"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Hampstead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16970246.539999999</v>
      </c>
      <c r="D5" s="20">
        <f>SUM('DOE25'!L197:L200)+SUM('DOE25'!L215:L218)+SUM('DOE25'!L233:L236)-F5-G5</f>
        <v>16853458.689999998</v>
      </c>
      <c r="E5" s="243"/>
      <c r="F5" s="255">
        <f>SUM('DOE25'!J197:J200)+SUM('DOE25'!J215:J218)+SUM('DOE25'!J233:J236)</f>
        <v>98752.049999999988</v>
      </c>
      <c r="G5" s="53">
        <f>SUM('DOE25'!K197:K200)+SUM('DOE25'!K215:K218)+SUM('DOE25'!K233:K236)</f>
        <v>18035.8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1079564.92</v>
      </c>
      <c r="D6" s="20">
        <f>'DOE25'!L202+'DOE25'!L220+'DOE25'!L238-F6-G6</f>
        <v>1074089.3799999999</v>
      </c>
      <c r="E6" s="243"/>
      <c r="F6" s="255">
        <f>'DOE25'!J202+'DOE25'!J220+'DOE25'!J238</f>
        <v>2206.7399999999998</v>
      </c>
      <c r="G6" s="53">
        <f>'DOE25'!K202+'DOE25'!K220+'DOE25'!K238</f>
        <v>3268.8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316157.45999999996</v>
      </c>
      <c r="D7" s="20">
        <f>'DOE25'!L203+'DOE25'!L221+'DOE25'!L239-F7-G7</f>
        <v>312590.09999999998</v>
      </c>
      <c r="E7" s="243"/>
      <c r="F7" s="255">
        <f>'DOE25'!J203+'DOE25'!J221+'DOE25'!J239</f>
        <v>3567.3599999999997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270935.46000000002</v>
      </c>
      <c r="D8" s="243"/>
      <c r="E8" s="20">
        <f>'DOE25'!L204+'DOE25'!L222+'DOE25'!L240-F8-G8-D9-D11</f>
        <v>260494.7</v>
      </c>
      <c r="F8" s="255">
        <f>'DOE25'!J204+'DOE25'!J222+'DOE25'!J240</f>
        <v>0</v>
      </c>
      <c r="G8" s="53">
        <f>'DOE25'!K204+'DOE25'!K222+'DOE25'!K240</f>
        <v>10440.759999999998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4000</v>
      </c>
      <c r="D9" s="244">
        <v>4000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8828.5</v>
      </c>
      <c r="D10" s="243"/>
      <c r="E10" s="244">
        <v>8828.5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89246.31</v>
      </c>
      <c r="D11" s="244">
        <v>89246.31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992014.89</v>
      </c>
      <c r="D12" s="20">
        <f>'DOE25'!L205+'DOE25'!L223+'DOE25'!L241-F12-G12</f>
        <v>985621.57000000007</v>
      </c>
      <c r="E12" s="243"/>
      <c r="F12" s="255">
        <f>'DOE25'!J205+'DOE25'!J223+'DOE25'!J241</f>
        <v>653.70000000000005</v>
      </c>
      <c r="G12" s="53">
        <f>'DOE25'!K205+'DOE25'!K223+'DOE25'!K241</f>
        <v>5739.62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1479315.95</v>
      </c>
      <c r="D14" s="20">
        <f>'DOE25'!L207+'DOE25'!L225+'DOE25'!L243-F14-G14</f>
        <v>1463894.7399999998</v>
      </c>
      <c r="E14" s="243"/>
      <c r="F14" s="255">
        <f>'DOE25'!J207+'DOE25'!J225+'DOE25'!J243</f>
        <v>12146.86</v>
      </c>
      <c r="G14" s="53">
        <f>'DOE25'!K207+'DOE25'!K225+'DOE25'!K243</f>
        <v>3274.35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774878.16999999993</v>
      </c>
      <c r="D15" s="20">
        <f>'DOE25'!L208+'DOE25'!L226+'DOE25'!L244-F15-G15</f>
        <v>774878.16999999993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6582.75</v>
      </c>
      <c r="D16" s="243"/>
      <c r="E16" s="20">
        <f>'DOE25'!L209+'DOE25'!L227+'DOE25'!L245-F16-G16</f>
        <v>6582.75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16346.480000000001</v>
      </c>
      <c r="D19" s="20">
        <f>'DOE25'!L253-F19-G19</f>
        <v>16346.480000000001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455991.15</v>
      </c>
      <c r="D22" s="243"/>
      <c r="E22" s="243"/>
      <c r="F22" s="255">
        <f>'DOE25'!L255+'DOE25'!L336</f>
        <v>455991.15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186872.34000000003</v>
      </c>
      <c r="D29" s="20">
        <f>'DOE25'!L358+'DOE25'!L359+'DOE25'!L360-'DOE25'!I367-F29-G29</f>
        <v>182250.38000000003</v>
      </c>
      <c r="E29" s="243"/>
      <c r="F29" s="255">
        <f>'DOE25'!J358+'DOE25'!J359+'DOE25'!J360</f>
        <v>0</v>
      </c>
      <c r="G29" s="53">
        <f>'DOE25'!K358+'DOE25'!K359+'DOE25'!K360</f>
        <v>4621.96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369552.13</v>
      </c>
      <c r="D31" s="20">
        <f>'DOE25'!L290+'DOE25'!L309+'DOE25'!L328+'DOE25'!L333+'DOE25'!L334+'DOE25'!L335-F31-G31</f>
        <v>356001.52</v>
      </c>
      <c r="E31" s="243"/>
      <c r="F31" s="255">
        <f>'DOE25'!J290+'DOE25'!J309+'DOE25'!J328+'DOE25'!J333+'DOE25'!J334+'DOE25'!J335</f>
        <v>13550.61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22112377.339999992</v>
      </c>
      <c r="E33" s="246">
        <f>SUM(E5:E31)</f>
        <v>275905.95</v>
      </c>
      <c r="F33" s="246">
        <f>SUM(F5:F31)</f>
        <v>586868.47</v>
      </c>
      <c r="G33" s="246">
        <f>SUM(G5:G31)</f>
        <v>45381.289999999994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275905.95</v>
      </c>
      <c r="E35" s="249"/>
    </row>
    <row r="36" spans="2:8" ht="12" thickTop="1" x14ac:dyDescent="0.2">
      <c r="B36" t="s">
        <v>815</v>
      </c>
      <c r="D36" s="20">
        <f>D33</f>
        <v>22112377.339999992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Hampstead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1894180.96</v>
      </c>
      <c r="D8" s="95">
        <f>'DOE25'!G9</f>
        <v>93651.11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236348.88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159854.81</v>
      </c>
      <c r="D11" s="95">
        <f>'DOE25'!G12</f>
        <v>3933.64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33707.629999999997</v>
      </c>
      <c r="D12" s="95">
        <f>'DOE25'!G13</f>
        <v>0</v>
      </c>
      <c r="E12" s="95">
        <f>'DOE25'!H13</f>
        <v>60211.68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3275.76</v>
      </c>
      <c r="D13" s="95">
        <f>'DOE25'!G14</f>
        <v>7369.36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10385.799999999999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2091019.16</v>
      </c>
      <c r="D18" s="41">
        <f>SUM(D8:D17)</f>
        <v>115339.91</v>
      </c>
      <c r="E18" s="41">
        <f>SUM(E8:E17)</f>
        <v>60211.68</v>
      </c>
      <c r="F18" s="41">
        <f>SUM(F8:F17)</f>
        <v>0</v>
      </c>
      <c r="G18" s="41">
        <f>SUM(G8:G17)</f>
        <v>236348.88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106583.58</v>
      </c>
      <c r="E21" s="95">
        <f>'DOE25'!H22</f>
        <v>53271.23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500000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88839.66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49708.01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14540</v>
      </c>
      <c r="D29" s="95">
        <f>'DOE25'!G30</f>
        <v>8756.33</v>
      </c>
      <c r="E29" s="95">
        <f>'DOE25'!H30</f>
        <v>6940.45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653087.67000000004</v>
      </c>
      <c r="D31" s="41">
        <f>SUM(D21:D30)</f>
        <v>115339.91</v>
      </c>
      <c r="E31" s="41">
        <f>SUM(E21:E30)</f>
        <v>60211.68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-10385.799999999999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165085.21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10385.799999999999</v>
      </c>
      <c r="E47" s="95">
        <f>'DOE25'!H48</f>
        <v>0</v>
      </c>
      <c r="F47" s="95">
        <f>'DOE25'!I48</f>
        <v>0</v>
      </c>
      <c r="G47" s="95">
        <f>'DOE25'!J48</f>
        <v>236348.88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1272846.28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1437931.49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236348.88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2091019.1600000001</v>
      </c>
      <c r="D51" s="41">
        <f>D50+D31</f>
        <v>115339.91</v>
      </c>
      <c r="E51" s="41">
        <f>E50+E31</f>
        <v>60211.68</v>
      </c>
      <c r="F51" s="41">
        <f>F50+F31</f>
        <v>0</v>
      </c>
      <c r="G51" s="41">
        <f>G50+G31</f>
        <v>236348.88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16493217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123090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2057.7399999999998</v>
      </c>
      <c r="D59" s="95">
        <f>'DOE25'!G96</f>
        <v>5.8</v>
      </c>
      <c r="E59" s="95">
        <f>'DOE25'!H96</f>
        <v>0</v>
      </c>
      <c r="F59" s="95">
        <f>'DOE25'!I96</f>
        <v>0</v>
      </c>
      <c r="G59" s="95">
        <f>'DOE25'!J96</f>
        <v>1514.58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200562.79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292720.25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417867.99</v>
      </c>
      <c r="D62" s="130">
        <f>SUM(D57:D61)</f>
        <v>200568.59</v>
      </c>
      <c r="E62" s="130">
        <f>SUM(E57:E61)</f>
        <v>0</v>
      </c>
      <c r="F62" s="130">
        <f>SUM(F57:F61)</f>
        <v>0</v>
      </c>
      <c r="G62" s="130">
        <f>SUM(G57:G61)</f>
        <v>1514.58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16911084.989999998</v>
      </c>
      <c r="D63" s="22">
        <f>D56+D62</f>
        <v>200568.59</v>
      </c>
      <c r="E63" s="22">
        <f>E56+E62</f>
        <v>0</v>
      </c>
      <c r="F63" s="22">
        <f>F56+F62</f>
        <v>0</v>
      </c>
      <c r="G63" s="22">
        <f>G56+G62</f>
        <v>1514.58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2917502.54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2316863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1169.28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5235534.82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408991.82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3364.51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408991.82</v>
      </c>
      <c r="D78" s="130">
        <f>SUM(D72:D77)</f>
        <v>3364.51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5644526.6400000006</v>
      </c>
      <c r="D81" s="130">
        <f>SUM(D79:D80)+D78+D70</f>
        <v>3364.51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242278.01</v>
      </c>
      <c r="D88" s="95">
        <f>SUM('DOE25'!G153:G161)</f>
        <v>66800.05</v>
      </c>
      <c r="E88" s="95">
        <f>SUM('DOE25'!H153:H161)</f>
        <v>369552.13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242278.01</v>
      </c>
      <c r="D91" s="131">
        <f>SUM(D85:D90)</f>
        <v>66800.05</v>
      </c>
      <c r="E91" s="131">
        <f>SUM(E85:E90)</f>
        <v>369552.13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6722.94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6722.94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22797889.640000001</v>
      </c>
      <c r="D104" s="86">
        <f>D63+D81+D91+D103</f>
        <v>277456.09000000003</v>
      </c>
      <c r="E104" s="86">
        <f>E63+E81+E91+E103</f>
        <v>369552.13</v>
      </c>
      <c r="F104" s="86">
        <f>F63+F81+F91+F103</f>
        <v>0</v>
      </c>
      <c r="G104" s="86">
        <f>G63+G81+G103</f>
        <v>76514.58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11878999.050000001</v>
      </c>
      <c r="D109" s="24" t="s">
        <v>289</v>
      </c>
      <c r="E109" s="95">
        <f>('DOE25'!L276)+('DOE25'!L295)+('DOE25'!L314)</f>
        <v>60652.66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4997919.83</v>
      </c>
      <c r="D110" s="24" t="s">
        <v>289</v>
      </c>
      <c r="E110" s="95">
        <f>('DOE25'!L277)+('DOE25'!L296)+('DOE25'!L315)</f>
        <v>242659.41999999998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93327.66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16346.480000000001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16986593.020000003</v>
      </c>
      <c r="D115" s="86">
        <f>SUM(D109:D114)</f>
        <v>0</v>
      </c>
      <c r="E115" s="86">
        <f>SUM(E109:E114)</f>
        <v>303312.07999999996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1079564.92</v>
      </c>
      <c r="D118" s="24" t="s">
        <v>289</v>
      </c>
      <c r="E118" s="95">
        <f>+('DOE25'!L281)+('DOE25'!L300)+('DOE25'!L319)</f>
        <v>11829.55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316157.45999999996</v>
      </c>
      <c r="D119" s="24" t="s">
        <v>289</v>
      </c>
      <c r="E119" s="95">
        <f>+('DOE25'!L282)+('DOE25'!L301)+('DOE25'!L320)</f>
        <v>54410.5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364181.77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992014.89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1479315.95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774878.16999999993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6582.75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277456.09000000003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5012695.91</v>
      </c>
      <c r="D128" s="86">
        <f>SUM(D118:D127)</f>
        <v>277456.09000000003</v>
      </c>
      <c r="E128" s="86">
        <f>SUM(E118:E127)</f>
        <v>66240.05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455991.15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6722.94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76514.58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-1514.5800000000017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537714.09000000008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22537003.020000003</v>
      </c>
      <c r="D145" s="86">
        <f>(D115+D128+D144)</f>
        <v>277456.09000000003</v>
      </c>
      <c r="E145" s="86">
        <f>(E115+E128+E144)</f>
        <v>369552.12999999995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Hampstead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17314</v>
      </c>
    </row>
    <row r="5" spans="1:4" x14ac:dyDescent="0.2">
      <c r="B5" t="s">
        <v>704</v>
      </c>
      <c r="C5" s="179">
        <f>IF('DOE25'!G665+'DOE25'!G670=0,0,ROUND('DOE25'!G672,0))</f>
        <v>18104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17692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11939652</v>
      </c>
      <c r="D10" s="182">
        <f>ROUND((C10/$C$28)*100,1)</f>
        <v>53.2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5240579</v>
      </c>
      <c r="D11" s="182">
        <f>ROUND((C11/$C$28)*100,1)</f>
        <v>23.3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93328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1091394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370568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370765</v>
      </c>
      <c r="D17" s="182">
        <f t="shared" si="0"/>
        <v>1.7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992015</v>
      </c>
      <c r="D18" s="182">
        <f t="shared" si="0"/>
        <v>4.4000000000000004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1479316</v>
      </c>
      <c r="D20" s="182">
        <f t="shared" si="0"/>
        <v>6.6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774878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16346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76893.209999999992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22445734.210000001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455991</v>
      </c>
    </row>
    <row r="30" spans="1:4" x14ac:dyDescent="0.2">
      <c r="B30" s="187" t="s">
        <v>729</v>
      </c>
      <c r="C30" s="180">
        <f>SUM(C28:C29)</f>
        <v>22901725.210000001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16493217</v>
      </c>
      <c r="D35" s="182">
        <f t="shared" ref="D35:D40" si="1">ROUND((C35/$C$41)*100,1)</f>
        <v>71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419388.36999999732</v>
      </c>
      <c r="D36" s="182">
        <f t="shared" si="1"/>
        <v>1.8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5234366</v>
      </c>
      <c r="D37" s="182">
        <f t="shared" si="1"/>
        <v>22.5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413526</v>
      </c>
      <c r="D38" s="182">
        <f t="shared" si="1"/>
        <v>1.8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678630</v>
      </c>
      <c r="D39" s="182">
        <f t="shared" si="1"/>
        <v>2.9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23239127.369999997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Hampstead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74" t="s">
        <v>912</v>
      </c>
      <c r="B4" s="219">
        <v>110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2014-09-09T18:46:02Z</cp:lastPrinted>
  <dcterms:created xsi:type="dcterms:W3CDTF">1997-12-04T19:04:30Z</dcterms:created>
  <dcterms:modified xsi:type="dcterms:W3CDTF">2014-09-22T18:48:38Z</dcterms:modified>
</cp:coreProperties>
</file>