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9" i="1" l="1"/>
  <c r="F50" i="1"/>
  <c r="F468" i="1"/>
  <c r="H521" i="1" l="1"/>
  <c r="G521" i="1"/>
  <c r="F521" i="1"/>
  <c r="H526" i="1"/>
  <c r="F526" i="1"/>
  <c r="I531" i="1"/>
  <c r="H531" i="1"/>
  <c r="F531" i="1"/>
  <c r="G562" i="1"/>
  <c r="F582" i="1"/>
  <c r="F579" i="1"/>
  <c r="D11" i="13" l="1"/>
  <c r="C20" i="12"/>
  <c r="B20" i="12"/>
  <c r="C19" i="12"/>
  <c r="B19" i="12"/>
  <c r="C10" i="12"/>
  <c r="C11" i="12"/>
  <c r="B12" i="12"/>
  <c r="B10" i="12"/>
  <c r="B11" i="12"/>
  <c r="H255" i="1"/>
  <c r="F472" i="1"/>
  <c r="F57" i="1"/>
  <c r="J207" i="1"/>
  <c r="J277" i="1"/>
  <c r="J203" i="1"/>
  <c r="F12" i="1"/>
  <c r="F30" i="1"/>
  <c r="F29" i="1"/>
  <c r="H379" i="1"/>
  <c r="G468" i="1" l="1"/>
  <c r="G502" i="1"/>
  <c r="F502" i="1"/>
  <c r="G499" i="1"/>
  <c r="F499" i="1"/>
  <c r="G498" i="1"/>
  <c r="F498" i="1"/>
  <c r="I277" i="1"/>
  <c r="H277" i="1"/>
  <c r="G277" i="1"/>
  <c r="F277" i="1"/>
  <c r="H282" i="1"/>
  <c r="I282" i="1"/>
  <c r="G276" i="1"/>
  <c r="F282" i="1"/>
  <c r="F276" i="1"/>
  <c r="K276" i="1"/>
  <c r="J282" i="1"/>
  <c r="I276" i="1"/>
  <c r="G282" i="1"/>
  <c r="K282" i="1"/>
  <c r="H276" i="1"/>
  <c r="H159" i="1"/>
  <c r="H155" i="1"/>
  <c r="H154" i="1" l="1"/>
  <c r="F110" i="1"/>
  <c r="F368" i="1" l="1"/>
  <c r="F358" i="1"/>
  <c r="I358" i="1"/>
  <c r="H358" i="1"/>
  <c r="I250" i="1"/>
  <c r="C21" i="12" l="1"/>
  <c r="B21" i="12"/>
  <c r="B37" i="12"/>
  <c r="B38" i="12"/>
  <c r="H207" i="1" l="1"/>
  <c r="K207" i="1"/>
  <c r="I207" i="1"/>
  <c r="K205" i="1"/>
  <c r="I205" i="1"/>
  <c r="H205" i="1"/>
  <c r="K204" i="1"/>
  <c r="I204" i="1"/>
  <c r="H204" i="1"/>
  <c r="H203" i="1"/>
  <c r="I203" i="1"/>
  <c r="H202" i="1"/>
  <c r="I202" i="1"/>
  <c r="F198" i="1"/>
  <c r="H198" i="1"/>
  <c r="H200" i="1"/>
  <c r="F200" i="1"/>
  <c r="H197" i="1"/>
  <c r="I197" i="1"/>
  <c r="J197" i="1"/>
  <c r="F207" i="1"/>
  <c r="F205" i="1"/>
  <c r="F204" i="1"/>
  <c r="F203" i="1"/>
  <c r="F202" i="1"/>
  <c r="F1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L257" i="1" s="1"/>
  <c r="L271" i="1" s="1"/>
  <c r="G632" i="1" s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G639" i="1"/>
  <c r="H639" i="1"/>
  <c r="G640" i="1"/>
  <c r="H640" i="1"/>
  <c r="J640" i="1" s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L351" i="1"/>
  <c r="I662" i="1"/>
  <c r="L290" i="1"/>
  <c r="F660" i="1" s="1"/>
  <c r="F664" i="1" s="1"/>
  <c r="F672" i="1" s="1"/>
  <c r="C4" i="10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C78" i="2"/>
  <c r="C81" i="2" s="1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41" i="1"/>
  <c r="J639" i="1"/>
  <c r="K605" i="1"/>
  <c r="G648" i="1" s="1"/>
  <c r="J571" i="1"/>
  <c r="K571" i="1"/>
  <c r="L433" i="1"/>
  <c r="L419" i="1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98" i="1"/>
  <c r="G647" i="1" s="1"/>
  <c r="J647" i="1" s="1"/>
  <c r="K545" i="1"/>
  <c r="J552" i="1"/>
  <c r="H552" i="1"/>
  <c r="C29" i="10"/>
  <c r="H140" i="1"/>
  <c r="L401" i="1"/>
  <c r="C139" i="2" s="1"/>
  <c r="L393" i="1"/>
  <c r="A13" i="12"/>
  <c r="F22" i="13"/>
  <c r="H25" i="13"/>
  <c r="C25" i="13" s="1"/>
  <c r="J651" i="1"/>
  <c r="H571" i="1"/>
  <c r="L560" i="1"/>
  <c r="J545" i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E33" i="13" l="1"/>
  <c r="D35" i="13" s="1"/>
  <c r="H257" i="1"/>
  <c r="H271" i="1" s="1"/>
  <c r="H338" i="1"/>
  <c r="H352" i="1" s="1"/>
  <c r="G661" i="1"/>
  <c r="C21" i="10"/>
  <c r="D81" i="2"/>
  <c r="C62" i="2"/>
  <c r="C63" i="2" s="1"/>
  <c r="H664" i="1"/>
  <c r="H667" i="1" s="1"/>
  <c r="I661" i="1"/>
  <c r="H33" i="13"/>
  <c r="C16" i="13"/>
  <c r="F66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72" i="1"/>
  <c r="C6" i="10" s="1"/>
  <c r="F31" i="13"/>
  <c r="F33" i="13" s="1"/>
  <c r="I660" i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72" i="1"/>
  <c r="C5" i="10" s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F104" i="2" l="1"/>
  <c r="C28" i="10"/>
  <c r="D24" i="10" s="1"/>
  <c r="C104" i="2"/>
  <c r="D31" i="13"/>
  <c r="C31" i="13" s="1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D22" i="10" l="1"/>
  <c r="D19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<sst xmlns="http://schemas.openxmlformats.org/spreadsheetml/2006/main" count="3966" uniqueCount="924">
  <si>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</si>
  <si>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</si>
  <si>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</si>
  <si>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</si>
  <si>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</si>
  <si>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</si>
  <si>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</si>
  <si>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</si>
  <si>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</si>
  <si>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</si>
  <si>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</si>
  <si>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</si>
  <si>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</si>
  <si>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</si>
  <si>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</si>
  <si>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</si>
  <si>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</si>
  <si>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</si>
  <si>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</si>
  <si>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</si>
  <si>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</si>
  <si>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</si>
  <si>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</si>
  <si>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</si>
  <si>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</si>
  <si>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</si>
  <si>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</si>
  <si>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</si>
  <si>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</si>
  <si>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</si>
  <si>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</si>
  <si>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</si>
  <si>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</si>
  <si>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</si>
  <si>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</si>
  <si>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</si>
  <si>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</si>
  <si>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</si>
  <si>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</si>
  <si>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</si>
  <si>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</si>
  <si>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</si>
  <si>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</si>
  <si>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</si>
  <si>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</si>
  <si>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</si>
  <si>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</si>
  <si>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</si>
  <si>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</si>
  <si>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</si>
  <si>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</si>
  <si>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</si>
  <si>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</si>
  <si>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</si>
  <si>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</si>
  <si>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</si>
  <si>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</si>
  <si>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</si>
  <si>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</si>
  <si>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</si>
  <si>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</si>
  <si>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</si>
  <si>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</si>
  <si>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</si>
  <si>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</si>
  <si>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</si>
  <si>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</si>
  <si>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</si>
  <si>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</si>
  <si>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</si>
  <si>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</si>
  <si>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</si>
  <si>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</si>
  <si>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</si>
  <si>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</si>
  <si>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</si>
  <si>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</si>
  <si>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</si>
  <si>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</si>
  <si>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</si>
  <si>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</si>
  <si>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</si>
  <si>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</si>
  <si>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</si>
  <si>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</si>
  <si>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</si>
  <si>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</si>
  <si>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</si>
  <si>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</si>
  <si>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</si>
  <si>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</si>
  <si>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</si>
  <si>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</si>
  <si>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</si>
  <si>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</si>
  <si>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</si>
  <si>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</si>
  <si>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</si>
  <si>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</si>
  <si>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</si>
  <si>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</si>
  <si>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</si>
  <si>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</si>
  <si>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</si>
  <si>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</si>
  <si>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</si>
  <si>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</si>
  <si>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</si>
  <si>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</si>
  <si>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</si>
  <si>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</si>
  <si>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</si>
  <si>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</si>
  <si>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</si>
  <si>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</si>
  <si>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</si>
  <si>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</si>
  <si>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</si>
  <si>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</si>
  <si>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</si>
  <si>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</si>
  <si>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</si>
  <si>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</si>
  <si>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</si>
  <si>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</si>
  <si>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</si>
  <si>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</si>
  <si>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</si>
  <si>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</si>
  <si>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</si>
  <si>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</si>
  <si>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</si>
  <si>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</si>
  <si>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</si>
  <si>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</si>
  <si>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</si>
  <si>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</si>
  <si>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</si>
  <si>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</si>
  <si>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</si>
  <si>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</si>
  <si>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</si>
  <si>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</si>
  <si>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</si>
  <si>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</si>
  <si>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</si>
  <si>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</si>
  <si>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</si>
  <si>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</si>
  <si>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</si>
  <si>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</si>
  <si>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</si>
  <si>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</si>
  <si>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</si>
  <si>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</si>
  <si>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</si>
  <si>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</si>
  <si>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</si>
  <si>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</si>
  <si>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</si>
  <si>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</si>
  <si>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</si>
  <si>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</si>
  <si>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</si>
  <si>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</si>
  <si>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</si>
  <si>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</si>
  <si>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</si>
  <si>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</si>
  <si>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</si>
  <si>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</si>
  <si>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</si>
  <si>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</si>
  <si>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</si>
  <si>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</si>
  <si>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</si>
  <si>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</si>
  <si>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</si>
  <si>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</si>
  <si>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</si>
  <si>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</si>
  <si>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</si>
  <si>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</si>
  <si>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</si>
  <si>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</si>
  <si>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</si>
  <si>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</si>
  <si>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</si>
  <si>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</si>
  <si>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</si>
  <si>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</si>
  <si>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</si>
  <si>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</si>
  <si>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</si>
  <si>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</si>
  <si>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</si>
  <si>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</si>
  <si>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</si>
  <si>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</si>
  <si>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</si>
  <si>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</si>
  <si>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</si>
  <si>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</si>
  <si>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</si>
  <si>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</si>
  <si>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</si>
  <si>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</si>
  <si>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</si>
  <si>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</si>
  <si>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</si>
  <si>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</si>
  <si>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</si>
  <si>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</si>
  <si>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</si>
  <si>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</si>
  <si>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</si>
  <si>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</si>
  <si>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</si>
  <si>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</si>
  <si>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</si>
  <si>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</si>
  <si>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</si>
  <si>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</si>
  <si>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</si>
  <si>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</si>
  <si>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</si>
  <si>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</si>
  <si>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</si>
  <si>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</si>
  <si>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</si>
  <si>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</si>
  <si>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</si>
  <si>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</si>
  <si>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</si>
  <si>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</si>
  <si>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</si>
  <si>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</si>
  <si>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</si>
  <si>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</si>
  <si>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</si>
  <si>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</si>
  <si>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</si>
  <si>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</si>
  <si>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</si>
  <si>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</si>
  <si>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</si>
  <si>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</si>
  <si>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</si>
  <si>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</si>
  <si>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</si>
  <si>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</si>
  <si>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</si>
  <si>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</si>
  <si>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</si>
  <si>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</si>
  <si>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</si>
  <si>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</si>
  <si>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</si>
  <si>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</si>
  <si>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</si>
  <si>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</si>
  <si>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</si>
  <si>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</si>
  <si>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</si>
  <si>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</si>
  <si>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</si>
  <si>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</si>
  <si>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</si>
  <si>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</si>
  <si>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</si>
  <si>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</si>
  <si>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</si>
  <si>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</si>
  <si>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</si>
  <si>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</si>
  <si>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</si>
  <si>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</si>
  <si>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</si>
  <si>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</si>
  <si>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</si>
  <si>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</si>
  <si>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</si>
  <si>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</si>
  <si>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</si>
  <si>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</si>
  <si>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</si>
  <si>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</si>
  <si>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</si>
  <si>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</si>
  <si>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</si>
  <si>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</si>
  <si>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</si>
  <si>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</si>
  <si>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</si>
  <si>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</si>
  <si>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</si>
  <si>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</si>
  <si>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</si>
  <si>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</si>
  <si>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</si>
  <si>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</si>
  <si>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</si>
  <si>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</si>
  <si>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</si>
  <si>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</si>
  <si>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</si>
  <si>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</si>
  <si>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</si>
  <si>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</si>
  <si>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</si>
  <si>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</si>
  <si>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</si>
  <si>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</si>
  <si>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</si>
  <si>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</si>
  <si>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</si>
  <si>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</si>
  <si>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</si>
  <si>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</si>
  <si>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</si>
  <si>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</si>
  <si>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</si>
  <si>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</si>
  <si>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</si>
  <si>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</si>
  <si>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</si>
  <si>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</si>
  <si>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</si>
  <si>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</si>
  <si>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</si>
  <si>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</si>
  <si>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</si>
  <si>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</si>
  <si>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</si>
  <si>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</si>
  <si>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</si>
  <si>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</si>
  <si>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</si>
  <si>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</si>
  <si>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</si>
  <si>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</si>
  <si>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</si>
  <si>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</si>
  <si>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</si>
  <si>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</si>
  <si>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</si>
  <si>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</si>
  <si>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</si>
  <si>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</si>
  <si>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</si>
  <si>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</si>
  <si>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</si>
  <si>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</si>
  <si>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</si>
  <si>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</si>
  <si>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</si>
  <si>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</si>
  <si>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</si>
  <si>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</si>
  <si>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</si>
  <si>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</si>
  <si>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</si>
  <si>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</si>
  <si>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</si>
  <si>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</si>
  <si>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</si>
  <si>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</si>
  <si>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</si>
  <si>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</si>
  <si>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</si>
  <si>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</si>
  <si>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</si>
  <si>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</si>
  <si>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</si>
  <si>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</si>
  <si>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</si>
  <si>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</si>
  <si>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</si>
  <si>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</si>
  <si>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</si>
  <si>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</si>
  <si>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</si>
  <si>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</si>
  <si>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</si>
  <si>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</si>
  <si>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</si>
  <si>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</si>
  <si>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</si>
  <si>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</si>
  <si>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</si>
  <si>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</si>
  <si>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</si>
  <si>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</si>
  <si>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</si>
  <si>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</si>
  <si>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</si>
  <si>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</si>
  <si>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</si>
  <si>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</si>
  <si>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</si>
  <si>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</si>
  <si>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</si>
  <si>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</si>
  <si>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</si>
  <si>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</si>
  <si>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</si>
  <si>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</si>
  <si>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</si>
  <si>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</si>
  <si>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</si>
  <si>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</si>
  <si>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</si>
  <si>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</si>
  <si>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</si>
  <si>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</si>
  <si>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</si>
  <si>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</si>
  <si>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</si>
  <si>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</si>
  <si>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</si>
  <si>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</si>
  <si>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</si>
  <si>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</si>
  <si>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</si>
  <si>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</si>
  <si>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</si>
  <si>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</si>
  <si>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</si>
  <si>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</si>
  <si>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</si>
  <si>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</si>
  <si>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</si>
  <si>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</si>
  <si>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</si>
  <si>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</si>
  <si>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</si>
  <si>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</si>
  <si>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</si>
  <si>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</si>
  <si>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</si>
  <si>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</si>
  <si>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</si>
  <si>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</si>
  <si>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</si>
  <si>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</si>
  <si>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</si>
  <si>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</si>
  <si>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</si>
  <si>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</si>
  <si>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</si>
  <si>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</si>
  <si>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</si>
  <si>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</si>
  <si>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</si>
  <si>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</si>
  <si>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</si>
  <si>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</si>
  <si>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</si>
  <si>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</si>
  <si>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</si>
  <si>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</si>
  <si>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</si>
  <si>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</si>
  <si>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</si>
  <si>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</si>
  <si>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</si>
  <si>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</si>
  <si>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</si>
  <si>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</si>
  <si>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</si>
  <si>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</si>
  <si>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</si>
  <si>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</si>
  <si>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</si>
  <si>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</si>
  <si>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</si>
  <si>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</si>
  <si>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</si>
  <si>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</si>
  <si>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</si>
  <si>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</si>
  <si>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</si>
  <si>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</si>
  <si>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</si>
  <si>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</si>
  <si>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</si>
  <si>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</si>
  <si>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</si>
  <si>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</si>
  <si>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</si>
  <si>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</si>
  <si>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</si>
  <si>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</si>
  <si>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</si>
  <si>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</si>
  <si>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</si>
  <si>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</si>
  <si>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</si>
  <si>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</si>
  <si>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</si>
  <si>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</si>
  <si>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</si>
  <si>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</si>
  <si>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</si>
  <si>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</si>
  <si>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</si>
  <si>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</si>
  <si>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</si>
  <si>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</si>
  <si>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</si>
  <si>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</si>
  <si>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</si>
  <si>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</si>
  <si>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</si>
  <si>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</si>
  <si>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</si>
  <si>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</si>
  <si>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</si>
  <si>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</si>
  <si>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</si>
  <si>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</si>
  <si>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</si>
  <si>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</si>
  <si>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</si>
  <si>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</si>
  <si>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</si>
  <si>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</si>
  <si>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</si>
  <si>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</si>
  <si>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</si>
  <si>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</si>
  <si>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</si>
  <si>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</si>
  <si>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</si>
  <si>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</si>
  <si>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</si>
  <si>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</si>
  <si>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</si>
  <si>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</si>
  <si>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</si>
  <si>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</si>
  <si>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</si>
  <si>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</si>
  <si>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</si>
  <si>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</si>
  <si>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</si>
  <si>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</si>
  <si>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</si>
  <si>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</si>
  <si>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</si>
  <si>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</si>
  <si>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</si>
  <si>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</si>
  <si>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</si>
  <si>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</si>
  <si>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</si>
  <si>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</si>
  <si>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</si>
  <si>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</si>
  <si>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</si>
  <si>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</si>
  <si>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</si>
  <si>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</si>
  <si>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</si>
  <si>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</si>
  <si>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</si>
  <si>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</si>
  <si>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</si>
  <si>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</si>
  <si>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</si>
  <si>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</si>
  <si>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</si>
  <si>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</si>
  <si>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</si>
  <si>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</si>
  <si>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</si>
  <si>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</si>
  <si>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</si>
  <si>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</si>
  <si>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</si>
  <si>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</si>
  <si>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</si>
  <si>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</si>
  <si>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</si>
  <si>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</si>
  <si>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</si>
  <si>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</si>
  <si>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</si>
  <si>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</si>
  <si>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</si>
  <si>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</si>
  <si>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</si>
  <si>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</si>
  <si>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</si>
  <si>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</si>
  <si>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</si>
  <si>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</si>
  <si>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</si>
  <si>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</si>
  <si>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</si>
  <si>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</si>
  <si>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</si>
  <si>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</si>
  <si>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</si>
  <si>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</si>
  <si>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</si>
  <si>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</si>
  <si>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</si>
  <si>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</si>
  <si>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</si>
  <si>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</si>
  <si>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</si>
  <si>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</si>
  <si>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</si>
  <si>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</si>
  <si>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</si>
  <si>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</si>
  <si>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</si>
  <si>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</si>
  <si>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</si>
  <si>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</si>
  <si>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</si>
  <si>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</si>
  <si>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</si>
  <si>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</si>
  <si>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</si>
  <si>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</si>
  <si>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</si>
  <si>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</si>
  <si>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</si>
  <si>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</si>
  <si>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</si>
  <si>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</si>
  <si>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</si>
  <si>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</si>
  <si>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</si>
  <si>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</si>
  <si>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</si>
  <si>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</si>
  <si>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</si>
  <si>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</si>
  <si>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</si>
  <si>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</si>
  <si>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</si>
  <si>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</si>
  <si>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</si>
  <si>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</si>
  <si>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</si>
  <si>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</si>
  <si>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</si>
  <si>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</si>
  <si>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</si>
  <si>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</si>
  <si>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</si>
  <si>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</si>
  <si>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</si>
  <si>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</si>
  <si>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</si>
  <si>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</si>
  <si>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</si>
  <si>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</si>
  <si>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</si>
  <si>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</si>
  <si>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</si>
  <si>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</si>
  <si>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</si>
  <si>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</si>
  <si>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</si>
  <si>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</si>
  <si>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</si>
  <si>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</si>
  <si>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</si>
  <si>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</si>
  <si>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</si>
  <si>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</si>
  <si>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</si>
  <si>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</si>
  <si>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</si>
  <si>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</si>
  <si>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</si>
  <si>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</si>
  <si>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</si>
  <si>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</si>
  <si>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</si>
  <si>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</si>
  <si>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</si>
  <si>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</si>
  <si>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</si>
  <si>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</si>
  <si>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</si>
  <si>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</si>
  <si>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</si>
  <si>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</si>
  <si>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</si>
  <si>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</si>
  <si>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</si>
  <si>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</si>
  <si>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</si>
  <si>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</si>
  <si>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</si>
  <si>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</si>
  <si>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</si>
  <si>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</si>
  <si>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</si>
  <si>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</si>
  <si>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</si>
  <si>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</si>
  <si>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</si>
  <si>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</si>
  <si>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</si>
  <si>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</si>
  <si>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</si>
  <si>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</si>
  <si>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</si>
  <si>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</si>
  <si>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</si>
  <si>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</si>
  <si>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</si>
  <si>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</si>
  <si>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</si>
  <si>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</si>
  <si>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</si>
  <si>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</si>
  <si>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</si>
  <si>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</si>
  <si>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</si>
  <si>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</si>
  <si>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</si>
  <si>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</si>
  <si>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</si>
  <si>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</si>
  <si>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</si>
  <si>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</si>
  <si>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</si>
  <si>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</si>
  <si>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</si>
  <si>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</si>
  <si>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</si>
  <si>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</si>
  <si>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</si>
  <si>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</si>
  <si>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</si>
  <si>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</si>
  <si>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</si>
  <si>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</si>
  <si>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</si>
  <si>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</si>
  <si>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</si>
  <si>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</si>
  <si>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</si>
  <si>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</si>
  <si>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</si>
  <si>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</si>
  <si>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</si>
  <si>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</si>
  <si>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</si>
  <si>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</si>
  <si>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</si>
  <si>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</si>
  <si>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</si>
  <si>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</si>
  <si>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</si>
  <si>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</si>
  <si>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</si>
  <si>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</si>
  <si>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</si>
  <si>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</si>
  <si>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</si>
  <si>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</si>
  <si>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</si>
  <si>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</si>
  <si>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</si>
  <si>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</si>
  <si>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</si>
  <si>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</si>
  <si>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</si>
  <si>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</si>
  <si>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</si>
  <si>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</si>
  <si>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</si>
  <si>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</si>
  <si>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</si>
  <si>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</si>
  <si>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</si>
  <si>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</si>
  <si>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</si>
  <si>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</si>
  <si>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</si>
  <si>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</si>
  <si>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</si>
  <si>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</si>
  <si>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</si>
  <si>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</si>
  <si>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</si>
  <si>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</si>
  <si>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</si>
  <si>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</si>
  <si>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</si>
  <si>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</si>
  <si>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</si>
  <si>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</si>
  <si>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</si>
  <si>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</si>
  <si>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</si>
  <si>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</si>
  <si>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</si>
  <si>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</si>
  <si>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</si>
  <si>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</si>
  <si>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</si>
  <si>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</si>
  <si>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</si>
  <si>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</si>
  <si>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</si>
  <si>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</si>
  <si>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</si>
  <si>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</si>
  <si>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</si>
  <si>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</si>
  <si>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</si>
  <si>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</si>
  <si>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</si>
  <si>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</si>
  <si>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</si>
  <si>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</si>
  <si>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</si>
  <si>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</si>
  <si>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</si>
  <si>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</si>
  <si>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</si>
  <si>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</si>
  <si>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</si>
  <si>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</si>
  <si>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</si>
  <si>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</si>
  <si>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</si>
  <si>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</si>
  <si>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</si>
  <si>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</si>
  <si>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</si>
  <si>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</si>
  <si>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</si>
  <si>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</si>
  <si>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</si>
  <si>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</si>
  <si>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</si>
  <si>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</si>
  <si>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</si>
  <si>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</si>
  <si>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</si>
  <si>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</si>
  <si>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</si>
  <si>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</si>
  <si>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</si>
  <si>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</si>
  <si>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</si>
  <si>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</si>
  <si>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</si>
  <si>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</si>
  <si>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</si>
  <si>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</si>
  <si>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</si>
  <si>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</si>
  <si>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</si>
  <si>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</si>
  <si>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</si>
  <si>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</si>
  <si>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</si>
  <si>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</si>
  <si>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</si>
  <si>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</si>
  <si>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</si>
  <si>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</si>
  <si>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</si>
  <si>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</si>
  <si>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</si>
  <si>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</si>
  <si>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</si>
  <si>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</si>
  <si>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</si>
  <si>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</si>
  <si>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</si>
  <si>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</si>
  <si>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</si>
  <si>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</si>
  <si>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</si>
  <si>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</si>
  <si>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</si>
  <si>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</si>
  <si>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</si>
  <si>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</si>
  <si>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</si>
  <si>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</si>
  <si>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</si>
  <si>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</si>
  <si>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</si>
  <si>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</si>
  <si>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</si>
  <si>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</si>
  <si>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</si>
  <si>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</si>
  <si>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</si>
  <si>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</si>
  <si>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</si>
  <si>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</si>
  <si>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</si>
  <si>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</si>
  <si>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</si>
  <si>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</si>
  <si>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</si>
  <si>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</si>
  <si>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Hampton School District</t>
  </si>
  <si>
    <t>07/96</t>
  </si>
  <si>
    <t>08/16</t>
  </si>
  <si>
    <t>07/98</t>
  </si>
  <si>
    <t>08/18</t>
  </si>
  <si>
    <t>I pulled $588,600 out of the Current Appropriation and "assigned" it to the Capital Project that was Warrant Article 4.</t>
  </si>
  <si>
    <t>The Expendable Trust Fund had income from interest earnings that I reported here.</t>
  </si>
  <si>
    <t>The Expendable Trust Fund realized losses in accumulated growth when they shifted holdings. I reported that here.</t>
  </si>
  <si>
    <t>The result is that the Trust Fund shows a loss in revenue for the year.  They didn't "spend" any money, just lost some.</t>
  </si>
  <si>
    <t>This General Fund "other" revenue is $20,204.22 in Impact Fees and $167,330.79 from LGC Return of Surplus (health).</t>
  </si>
  <si>
    <t>This transfer represents the unexpended portion of the capital project raised appropriations (from the $588,600).</t>
  </si>
  <si>
    <t>Again, this is the netting of interest earnings against loss of growth in the Expendable Trust Fund.</t>
  </si>
  <si>
    <t>This amount is the State reimbursement for costs related to serving an IEP for a resident student attending a charter school.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</si>
</sst>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225</v>
      </c>
      <c r="C2" s="21">
        <v>225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600+306894.27-15721.29-1856</f>
        <v>289916.98000000004</v>
      </c>
      <c r="G9" s="18">
        <v>914.11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210696.41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103465.26</f>
        <v>103465.26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12722.88</v>
      </c>
      <c r="H13" s="18">
        <v>103465.26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14732.19</v>
      </c>
      <c r="G14" s="18">
        <v>1080.6199999999999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408114.43000000005</v>
      </c>
      <c r="G19" s="41">
        <f>SUM(G9:G18)</f>
        <v>14717.61</v>
      </c>
      <c r="H19" s="41">
        <f>SUM(H9:H18)</f>
        <v>103465.26</v>
      </c>
      <c r="I19" s="41">
        <f>SUM(I9:I18)</f>
        <v>0</v>
      </c>
      <c r="J19" s="41">
        <f>SUM(J9:J18)</f>
        <v>210696.41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14047.12</v>
      </c>
      <c r="H22" s="18">
        <v>103465.26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58443.1+8383.34</f>
        <v>66826.44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f>57346.04+6876.85-1844.43-300.18</f>
        <v>62078.28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128904.72</v>
      </c>
      <c r="G32" s="41">
        <f>SUM(G22:G31)</f>
        <v>14047.12</v>
      </c>
      <c r="H32" s="41">
        <f>SUM(H22:H31)</f>
        <v>103465.26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210696.41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670.49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281065.71-1856</f>
        <v>279209.71000000002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279209.71000000002</v>
      </c>
      <c r="G51" s="41">
        <f>SUM(G35:G50)</f>
        <v>670.49</v>
      </c>
      <c r="H51" s="41">
        <f>SUM(H35:H50)</f>
        <v>0</v>
      </c>
      <c r="I51" s="41">
        <f>SUM(I35:I50)</f>
        <v>0</v>
      </c>
      <c r="J51" s="41">
        <f>SUM(J35:J50)</f>
        <v>210696.41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408114.43000000005</v>
      </c>
      <c r="G52" s="41">
        <f>G51+G32</f>
        <v>14717.61</v>
      </c>
      <c r="H52" s="41">
        <f>H51+H32</f>
        <v>103465.26</v>
      </c>
      <c r="I52" s="41">
        <f>I51+I32</f>
        <v>0</v>
      </c>
      <c r="J52" s="41">
        <f>J51+J32</f>
        <v>210696.41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13971095-588600</f>
        <v>13382495</v>
      </c>
      <c r="G57" s="18"/>
      <c r="H57" s="18"/>
      <c r="I57" s="18">
        <v>588600</v>
      </c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13382495</v>
      </c>
      <c r="G60" s="41">
        <f>SUM(G57:G59)</f>
        <v>0</v>
      </c>
      <c r="H60" s="41">
        <f>SUM(H57:H59)</f>
        <v>0</v>
      </c>
      <c r="I60" s="41">
        <f>SUM(I57:I59)</f>
        <v>588600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9600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9600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2905.96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264002.63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1500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10961.84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167330.79+20204.22</f>
        <v>187535.01</v>
      </c>
      <c r="G110" s="18"/>
      <c r="H110" s="18"/>
      <c r="I110" s="18"/>
      <c r="J110" s="18">
        <v>-3986.8</v>
      </c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199996.85</v>
      </c>
      <c r="G111" s="41">
        <f>SUM(G96:G110)</f>
        <v>264002.63</v>
      </c>
      <c r="H111" s="41">
        <f>SUM(H96:H110)</f>
        <v>0</v>
      </c>
      <c r="I111" s="41">
        <f>SUM(I96:I110)</f>
        <v>0</v>
      </c>
      <c r="J111" s="41">
        <f>SUM(J96:J110)</f>
        <v>-1080.8400000000001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13592091.85</v>
      </c>
      <c r="G112" s="41">
        <f>G60+G111</f>
        <v>264002.63</v>
      </c>
      <c r="H112" s="41">
        <f>H60+H79+H94+H111</f>
        <v>0</v>
      </c>
      <c r="I112" s="41">
        <f>I60+I111</f>
        <v>588600</v>
      </c>
      <c r="J112" s="41">
        <f>J60+J111</f>
        <v>-1080.8400000000001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90781.119999999995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4441326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4532107.12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115737.7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5251.75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7461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1856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122845.45</v>
      </c>
      <c r="G136" s="41">
        <f>SUM(G123:G135)</f>
        <v>7461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4654952.57</v>
      </c>
      <c r="G140" s="41">
        <f>G121+SUM(G136:G137)</f>
        <v>7461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4252.51+182555.93</f>
        <v>186808.44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31118.85+97808.46+6210.08</f>
        <v>135137.38999999998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171313.33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252855.07+9215.07</f>
        <v>262070.14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93492.88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500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93492.88</v>
      </c>
      <c r="G162" s="41">
        <f>SUM(G150:G161)</f>
        <v>171313.33</v>
      </c>
      <c r="H162" s="41">
        <f>SUM(H150:H161)</f>
        <v>584515.97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93492.88</v>
      </c>
      <c r="G169" s="41">
        <f>G147+G162+SUM(G163:G168)</f>
        <v>171313.33</v>
      </c>
      <c r="H169" s="41">
        <f>H147+H162+SUM(H163:H168)</f>
        <v>584515.97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17500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29933.72</v>
      </c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29933.72</v>
      </c>
      <c r="G183" s="41">
        <f>SUM(G179:G182)</f>
        <v>17500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29933.72</v>
      </c>
      <c r="G192" s="41">
        <f>G183+SUM(G188:G191)</f>
        <v>17500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18370471.02</v>
      </c>
      <c r="G193" s="47">
        <f>G112+G140+G169+G192</f>
        <v>460276.95999999996</v>
      </c>
      <c r="H193" s="47">
        <f>H112+H140+H169+H192</f>
        <v>584515.97</v>
      </c>
      <c r="I193" s="47">
        <f>I112+I140+I169+I192</f>
        <v>588600</v>
      </c>
      <c r="J193" s="47">
        <f>J112+J140+J192</f>
        <v>-1080.8400000000001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1838489.85+1772822.39+2153053.17+139271.98+12169.26+163407.85</f>
        <v>6079214.5</v>
      </c>
      <c r="G197" s="18">
        <v>2536392.0299999998</v>
      </c>
      <c r="H197" s="18">
        <f>(189+16180.42)+(359+13974.55)+(505+15591.47)</f>
        <v>46799.44</v>
      </c>
      <c r="I197" s="18">
        <f>(23301.04+17836.19+1959.65)+(21429.7+21358.35+1347.11)+(31262.95+17698.39+39.96)</f>
        <v>136233.34</v>
      </c>
      <c r="J197" s="18">
        <f>1231.67+468.75+1487.53</f>
        <v>3187.95</v>
      </c>
      <c r="K197" s="18">
        <v>0</v>
      </c>
      <c r="L197" s="19">
        <f>SUM(F197:K197)</f>
        <v>8801827.2599999979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81561+874299+316094.34+9843.75+68920.05+(17788.37+5953.73+4259.52)</f>
        <v>1378719.7600000002</v>
      </c>
      <c r="G198" s="18">
        <v>575234.48</v>
      </c>
      <c r="H198" s="18">
        <f>833.84+(147131.44-17788.37-5953.73-4259.52)+5227.9+3049.13+900+30397.21</f>
        <v>159537.9</v>
      </c>
      <c r="I198" s="18">
        <v>2333.6</v>
      </c>
      <c r="J198" s="18">
        <v>0</v>
      </c>
      <c r="K198" s="18">
        <v>815</v>
      </c>
      <c r="L198" s="19">
        <f>SUM(F198:K198)</f>
        <v>2116640.7400000002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46834+29565.5+2000</f>
        <v>78399.5</v>
      </c>
      <c r="G200" s="18">
        <v>5997.56</v>
      </c>
      <c r="H200" s="18">
        <f>8806.26+20000</f>
        <v>28806.260000000002</v>
      </c>
      <c r="I200" s="18">
        <v>19022.599999999999</v>
      </c>
      <c r="J200" s="18">
        <v>0</v>
      </c>
      <c r="K200" s="18">
        <v>0</v>
      </c>
      <c r="L200" s="19">
        <f>SUM(F200:K200)</f>
        <v>132225.92000000001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285922+35880+192760+15972+146015+203957.5+20311+131967</f>
        <v>1032784.5</v>
      </c>
      <c r="G202" s="18">
        <v>430902.11</v>
      </c>
      <c r="H202" s="18">
        <f>(164.92+250+382.96)+18950</f>
        <v>19747.88</v>
      </c>
      <c r="I202" s="18">
        <f>1512.26+(1128.86+1125.28+1008.57)</f>
        <v>4774.97</v>
      </c>
      <c r="J202" s="18">
        <v>0</v>
      </c>
      <c r="K202" s="18">
        <v>0</v>
      </c>
      <c r="L202" s="19">
        <f t="shared" ref="L202:L208" si="0">SUM(F202:K202)</f>
        <v>1488209.4599999997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7628.38+172860+153257.87+34116.86+6360+60893.53+48012.95</f>
        <v>483129.59</v>
      </c>
      <c r="G203" s="18">
        <v>201573.09</v>
      </c>
      <c r="H203" s="18">
        <f>(19413.52+25222.29+19918.88+84.72)+115.57+(4104.98+2550+2870.55)+(31731.1+874.24)</f>
        <v>106885.85</v>
      </c>
      <c r="I203" s="18">
        <f>(6711.06+2448.9+14148)+(6542.1+7545.99+7893.19-115.57)+(12039.48+7776.2+42133.14+9992.06)</f>
        <v>117114.55</v>
      </c>
      <c r="J203" s="18">
        <f>27098.45+188861.7</f>
        <v>215960.15000000002</v>
      </c>
      <c r="K203" s="18">
        <v>985</v>
      </c>
      <c r="L203" s="19">
        <f t="shared" si="0"/>
        <v>1125648.23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20175+301990</f>
        <v>322165</v>
      </c>
      <c r="G204" s="18">
        <v>134414.85999999999</v>
      </c>
      <c r="H204" s="18">
        <f>(13669.32+15750+2960.9+3368.85)+(4908.17+128+4551.94+3184.13+1219.54+4735+1265.46)</f>
        <v>55741.31</v>
      </c>
      <c r="I204" s="18">
        <f>1830.69+(5091.05+297+2739.17+8121.53+15505.69)</f>
        <v>33585.130000000005</v>
      </c>
      <c r="J204" s="18">
        <v>0</v>
      </c>
      <c r="K204" s="18">
        <f>(6563.95+272.69)+(3949.96+1350)</f>
        <v>12136.599999999999</v>
      </c>
      <c r="L204" s="19">
        <f t="shared" si="0"/>
        <v>558042.9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430571.84+196681.48</f>
        <v>627253.32000000007</v>
      </c>
      <c r="G205" s="18">
        <v>261704.92</v>
      </c>
      <c r="H205" s="18">
        <f>46.8+3846.86+754+923.02+6056.12+1050.32+112+6779.99+2268.88</f>
        <v>21837.99</v>
      </c>
      <c r="I205" s="18">
        <f>4255.13+4873.34+4424.17</f>
        <v>13552.640000000001</v>
      </c>
      <c r="J205" s="18">
        <v>0</v>
      </c>
      <c r="K205" s="18">
        <f>735+1470+1623</f>
        <v>3828</v>
      </c>
      <c r="L205" s="19">
        <f t="shared" si="0"/>
        <v>928176.87000000011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158821.4+182068.14+190921.95</f>
        <v>531811.49</v>
      </c>
      <c r="G207" s="18">
        <v>221884.33</v>
      </c>
      <c r="H207" s="18">
        <f>(6796.82+614+8848.1+66147.49+14626.07)+(6860.63+342+12190.5+76183.35+14626.07)+(3800.96+7779.81+97975.24+14626.86)+65910.42+3031.88</f>
        <v>400360.2</v>
      </c>
      <c r="I207" s="18">
        <f>(19540.24+41458.93+30216.13)+(18689.9+53028.37+51698.45)+(19810.71+56402.03+55325.33)</f>
        <v>346170.09</v>
      </c>
      <c r="J207" s="18">
        <f>3021.48+602.36+4629.31+2884.35+12568.8+2340.36</f>
        <v>26046.660000000003</v>
      </c>
      <c r="K207" s="18">
        <f>72.68+60.95+97.81</f>
        <v>231.44</v>
      </c>
      <c r="L207" s="19">
        <f t="shared" si="0"/>
        <v>1526504.21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695477.22</v>
      </c>
      <c r="I208" s="18">
        <v>0</v>
      </c>
      <c r="J208" s="18">
        <v>0</v>
      </c>
      <c r="K208" s="18">
        <v>0</v>
      </c>
      <c r="L208" s="19">
        <f t="shared" si="0"/>
        <v>695477.22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10533477.66</v>
      </c>
      <c r="G211" s="41">
        <f t="shared" si="1"/>
        <v>4368103.379999999</v>
      </c>
      <c r="H211" s="41">
        <f t="shared" si="1"/>
        <v>1535194.05</v>
      </c>
      <c r="I211" s="41">
        <f t="shared" si="1"/>
        <v>672786.92</v>
      </c>
      <c r="J211" s="41">
        <f t="shared" si="1"/>
        <v>245194.76000000004</v>
      </c>
      <c r="K211" s="41">
        <f t="shared" si="1"/>
        <v>17996.039999999997</v>
      </c>
      <c r="L211" s="41">
        <f t="shared" si="1"/>
        <v>17372752.809999999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12900</v>
      </c>
      <c r="G250" s="18">
        <v>987</v>
      </c>
      <c r="H250" s="18">
        <v>700</v>
      </c>
      <c r="I250" s="18">
        <f>6672.2+4897.03+378.15+13665.62-700</f>
        <v>24913</v>
      </c>
      <c r="J250" s="18"/>
      <c r="K250" s="18"/>
      <c r="L250" s="19">
        <f t="shared" ref="L250:L255" si="6">SUM(F250:K250)</f>
        <v>39500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575</v>
      </c>
      <c r="G253" s="18"/>
      <c r="H253" s="18"/>
      <c r="I253" s="18">
        <v>386.84</v>
      </c>
      <c r="J253" s="18">
        <v>10000</v>
      </c>
      <c r="K253" s="18"/>
      <c r="L253" s="19">
        <f t="shared" si="6"/>
        <v>10961.84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291057.85+25808.31+55000</f>
        <v>371866.16</v>
      </c>
      <c r="I255" s="18"/>
      <c r="J255" s="18"/>
      <c r="K255" s="18"/>
      <c r="L255" s="19">
        <f t="shared" si="6"/>
        <v>371866.16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13475</v>
      </c>
      <c r="G256" s="41">
        <f t="shared" si="7"/>
        <v>987</v>
      </c>
      <c r="H256" s="41">
        <f t="shared" si="7"/>
        <v>372566.16</v>
      </c>
      <c r="I256" s="41">
        <f t="shared" si="7"/>
        <v>25299.84</v>
      </c>
      <c r="J256" s="41">
        <f t="shared" si="7"/>
        <v>10000</v>
      </c>
      <c r="K256" s="41">
        <f t="shared" si="7"/>
        <v>0</v>
      </c>
      <c r="L256" s="41">
        <f>SUM(F256:K256)</f>
        <v>422328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10546952.66</v>
      </c>
      <c r="G257" s="41">
        <f t="shared" si="8"/>
        <v>4369090.379999999</v>
      </c>
      <c r="H257" s="41">
        <f t="shared" si="8"/>
        <v>1907760.21</v>
      </c>
      <c r="I257" s="41">
        <f t="shared" si="8"/>
        <v>698086.76</v>
      </c>
      <c r="J257" s="41">
        <f t="shared" si="8"/>
        <v>255194.76000000004</v>
      </c>
      <c r="K257" s="41">
        <f t="shared" si="8"/>
        <v>17996.039999999997</v>
      </c>
      <c r="L257" s="41">
        <f t="shared" si="8"/>
        <v>17795080.809999999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375000</v>
      </c>
      <c r="L260" s="19">
        <f>SUM(F260:K260)</f>
        <v>375000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94037.5</v>
      </c>
      <c r="L261" s="19">
        <f>SUM(F261:K261)</f>
        <v>94037.5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17500</v>
      </c>
      <c r="L263" s="19">
        <f>SUM(F263:K263)</f>
        <v>17500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486537.5</v>
      </c>
      <c r="L270" s="41">
        <f t="shared" si="9"/>
        <v>486537.5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10546952.66</v>
      </c>
      <c r="G271" s="42">
        <f t="shared" si="11"/>
        <v>4369090.379999999</v>
      </c>
      <c r="H271" s="42">
        <f t="shared" si="11"/>
        <v>1907760.21</v>
      </c>
      <c r="I271" s="42">
        <f t="shared" si="11"/>
        <v>698086.76</v>
      </c>
      <c r="J271" s="42">
        <f t="shared" si="11"/>
        <v>255194.76000000004</v>
      </c>
      <c r="K271" s="42">
        <f t="shared" si="11"/>
        <v>504533.54</v>
      </c>
      <c r="L271" s="42">
        <f t="shared" si="11"/>
        <v>18281618.309999999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11662.5+1750+82981.85+49642.46+9200+50958</f>
        <v>206194.81</v>
      </c>
      <c r="G276" s="18">
        <f>36.57+14027+3651.72+6513.9</f>
        <v>24229.190000000002</v>
      </c>
      <c r="H276" s="18">
        <f>4252.51+13010.3</f>
        <v>17262.809999999998</v>
      </c>
      <c r="I276" s="18">
        <f>165+8.91</f>
        <v>173.91</v>
      </c>
      <c r="J276" s="18"/>
      <c r="K276" s="18">
        <f>50</f>
        <v>50</v>
      </c>
      <c r="L276" s="19">
        <f>SUM(F276:K276)</f>
        <v>247910.72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1250+131656.8+7053</f>
        <v>139959.79999999999</v>
      </c>
      <c r="G277" s="18">
        <f>10272.92+539.55</f>
        <v>10812.47</v>
      </c>
      <c r="H277" s="18">
        <f>99.95+99857.5+334.41+1317+1000</f>
        <v>102608.86</v>
      </c>
      <c r="I277" s="18">
        <f>577.68+96.8+150+8001.44+165+622.52</f>
        <v>9613.44</v>
      </c>
      <c r="J277" s="18">
        <f>4909.65</f>
        <v>4909.6499999999996</v>
      </c>
      <c r="K277" s="18"/>
      <c r="L277" s="19">
        <f>SUM(F277:K277)</f>
        <v>267904.22000000003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855+375+2200</f>
        <v>3430</v>
      </c>
      <c r="G282" s="18">
        <f>10651.73+11674.5</f>
        <v>22326.23</v>
      </c>
      <c r="H282" s="18">
        <f>1950+349.48+7000+2000+3812.56+2168+19304.88+1100+40+336</f>
        <v>38060.92</v>
      </c>
      <c r="I282" s="18">
        <f>2172.24+679.68+52.96</f>
        <v>2904.8799999999997</v>
      </c>
      <c r="J282" s="18">
        <f>139</f>
        <v>139</v>
      </c>
      <c r="K282" s="18">
        <f>1340</f>
        <v>1340</v>
      </c>
      <c r="L282" s="19">
        <f t="shared" si="12"/>
        <v>68201.03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500</v>
      </c>
      <c r="I283" s="18"/>
      <c r="J283" s="18"/>
      <c r="K283" s="18"/>
      <c r="L283" s="19">
        <f t="shared" si="12"/>
        <v>500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349584.61</v>
      </c>
      <c r="G290" s="42">
        <f t="shared" si="13"/>
        <v>57367.89</v>
      </c>
      <c r="H290" s="42">
        <f t="shared" si="13"/>
        <v>158432.59</v>
      </c>
      <c r="I290" s="42">
        <f t="shared" si="13"/>
        <v>12692.23</v>
      </c>
      <c r="J290" s="42">
        <f t="shared" si="13"/>
        <v>5048.6499999999996</v>
      </c>
      <c r="K290" s="42">
        <f t="shared" si="13"/>
        <v>1390</v>
      </c>
      <c r="L290" s="41">
        <f t="shared" si="13"/>
        <v>584515.97000000009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349584.61</v>
      </c>
      <c r="G338" s="41">
        <f t="shared" si="20"/>
        <v>57367.89</v>
      </c>
      <c r="H338" s="41">
        <f t="shared" si="20"/>
        <v>158432.59</v>
      </c>
      <c r="I338" s="41">
        <f t="shared" si="20"/>
        <v>12692.23</v>
      </c>
      <c r="J338" s="41">
        <f t="shared" si="20"/>
        <v>5048.6499999999996</v>
      </c>
      <c r="K338" s="41">
        <f t="shared" si="20"/>
        <v>1390</v>
      </c>
      <c r="L338" s="41">
        <f t="shared" si="20"/>
        <v>584515.97000000009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349584.61</v>
      </c>
      <c r="G352" s="41">
        <f>G338</f>
        <v>57367.89</v>
      </c>
      <c r="H352" s="41">
        <f>H338</f>
        <v>158432.59</v>
      </c>
      <c r="I352" s="41">
        <f>I338</f>
        <v>12692.23</v>
      </c>
      <c r="J352" s="41">
        <f>J338</f>
        <v>5048.6499999999996</v>
      </c>
      <c r="K352" s="47">
        <f>K338+K351</f>
        <v>1390</v>
      </c>
      <c r="L352" s="41">
        <f>L338+L351</f>
        <v>584515.97000000009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55695+183885.41+170.63</f>
        <v>239751.04000000001</v>
      </c>
      <c r="G358" s="18"/>
      <c r="H358" s="18">
        <f>11852.94+1855.41</f>
        <v>13708.35</v>
      </c>
      <c r="I358" s="18">
        <f>1547.88+46603.54+162397.97</f>
        <v>210549.39</v>
      </c>
      <c r="J358" s="18">
        <v>326.97000000000003</v>
      </c>
      <c r="K358" s="18">
        <v>3526.72</v>
      </c>
      <c r="L358" s="13">
        <f>SUM(F358:K358)</f>
        <v>467862.47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239751.04000000001</v>
      </c>
      <c r="G362" s="47">
        <f t="shared" si="22"/>
        <v>0</v>
      </c>
      <c r="H362" s="47">
        <f t="shared" si="22"/>
        <v>13708.35</v>
      </c>
      <c r="I362" s="47">
        <f t="shared" si="22"/>
        <v>210549.39</v>
      </c>
      <c r="J362" s="47">
        <f t="shared" si="22"/>
        <v>326.97000000000003</v>
      </c>
      <c r="K362" s="47">
        <f t="shared" si="22"/>
        <v>3526.72</v>
      </c>
      <c r="L362" s="47">
        <f t="shared" si="22"/>
        <v>467862.47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162397.97</v>
      </c>
      <c r="G367" s="18"/>
      <c r="H367" s="18"/>
      <c r="I367" s="56">
        <f>SUM(F367:H367)</f>
        <v>162397.97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1547.88+46603.54</f>
        <v>48151.42</v>
      </c>
      <c r="G368" s="63"/>
      <c r="H368" s="63"/>
      <c r="I368" s="56">
        <f>SUM(F368:H368)</f>
        <v>48151.42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210549.39</v>
      </c>
      <c r="G369" s="47">
        <f>SUM(G367:G368)</f>
        <v>0</v>
      </c>
      <c r="H369" s="47">
        <f>SUM(H367:H368)</f>
        <v>0</v>
      </c>
      <c r="I369" s="47">
        <f>SUM(I367:I368)</f>
        <v>210549.39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39512</v>
      </c>
      <c r="I376" s="18"/>
      <c r="J376" s="18"/>
      <c r="K376" s="18"/>
      <c r="L376" s="13">
        <f t="shared" si="23"/>
        <v>39512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f>493900+16332.58</f>
        <v>510232.58</v>
      </c>
      <c r="I379" s="18"/>
      <c r="J379" s="18">
        <v>3115.7</v>
      </c>
      <c r="K379" s="18"/>
      <c r="L379" s="13">
        <f t="shared" si="23"/>
        <v>513348.28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>
        <v>5806</v>
      </c>
      <c r="I380" s="18"/>
      <c r="J380" s="18"/>
      <c r="K380" s="18"/>
      <c r="L380" s="13">
        <f t="shared" si="23"/>
        <v>5806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29933.72</v>
      </c>
      <c r="L381" s="13">
        <f t="shared" si="23"/>
        <v>29933.72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555550.58000000007</v>
      </c>
      <c r="I382" s="41">
        <f t="shared" si="24"/>
        <v>0</v>
      </c>
      <c r="J382" s="47">
        <f t="shared" si="24"/>
        <v>3115.7</v>
      </c>
      <c r="K382" s="47">
        <f t="shared" si="24"/>
        <v>29933.72</v>
      </c>
      <c r="L382" s="47">
        <f t="shared" si="24"/>
        <v>588600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2905.96</v>
      </c>
      <c r="I397" s="18">
        <v>-3986.8</v>
      </c>
      <c r="J397" s="24" t="s">
        <v>289</v>
      </c>
      <c r="K397" s="24" t="s">
        <v>289</v>
      </c>
      <c r="L397" s="56">
        <f t="shared" si="26"/>
        <v>-1080.8400000000001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2905.96</v>
      </c>
      <c r="I401" s="47">
        <f>SUM(I395:I400)</f>
        <v>-3986.8</v>
      </c>
      <c r="J401" s="45" t="s">
        <v>289</v>
      </c>
      <c r="K401" s="45" t="s">
        <v>289</v>
      </c>
      <c r="L401" s="47">
        <f>SUM(L395:L400)</f>
        <v>-1080.8400000000001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2905.96</v>
      </c>
      <c r="I408" s="47">
        <f>I393+I401+I407</f>
        <v>-3986.8</v>
      </c>
      <c r="J408" s="24" t="s">
        <v>289</v>
      </c>
      <c r="K408" s="24" t="s">
        <v>289</v>
      </c>
      <c r="L408" s="47">
        <f>L393+L401+L407</f>
        <v>-1080.8400000000001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210696.41</v>
      </c>
      <c r="H440" s="18"/>
      <c r="I440" s="56">
        <f t="shared" si="33"/>
        <v>210696.41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210696.41</v>
      </c>
      <c r="H446" s="13">
        <f>SUM(H439:H445)</f>
        <v>0</v>
      </c>
      <c r="I446" s="13">
        <f>SUM(I439:I445)</f>
        <v>210696.41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210696.41</v>
      </c>
      <c r="H459" s="18"/>
      <c r="I459" s="56">
        <f t="shared" si="34"/>
        <v>210696.41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210696.41</v>
      </c>
      <c r="H460" s="83">
        <f>SUM(H454:H459)</f>
        <v>0</v>
      </c>
      <c r="I460" s="83">
        <f>SUM(I454:I459)</f>
        <v>210696.41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210696.41</v>
      </c>
      <c r="H461" s="42">
        <f>H452+H460</f>
        <v>0</v>
      </c>
      <c r="I461" s="42">
        <f>I452+I460</f>
        <v>210696.41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190357</v>
      </c>
      <c r="G465" s="18">
        <v>8256</v>
      </c>
      <c r="H465" s="18">
        <v>0</v>
      </c>
      <c r="I465" s="18">
        <v>0</v>
      </c>
      <c r="J465" s="18">
        <v>211777.25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18372327.02-1856</f>
        <v>18370471.02</v>
      </c>
      <c r="G468" s="18">
        <f>460276.96</f>
        <v>460276.96</v>
      </c>
      <c r="H468" s="18">
        <v>584515.97</v>
      </c>
      <c r="I468" s="18">
        <v>588600</v>
      </c>
      <c r="J468" s="18">
        <v>-1080.8399999999999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18370471.02</v>
      </c>
      <c r="G470" s="53">
        <f>SUM(G468:G469)</f>
        <v>460276.96</v>
      </c>
      <c r="H470" s="53">
        <f>SUM(H468:H469)</f>
        <v>584515.97</v>
      </c>
      <c r="I470" s="53">
        <f>SUM(I468:I469)</f>
        <v>588600</v>
      </c>
      <c r="J470" s="53">
        <f>SUM(J468:J469)</f>
        <v>-1080.8399999999999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18281618.31</f>
        <v>18281618.309999999</v>
      </c>
      <c r="G472" s="18">
        <v>467862.47</v>
      </c>
      <c r="H472" s="18">
        <v>584515.97</v>
      </c>
      <c r="I472" s="18">
        <v>588600</v>
      </c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18281618.309999999</v>
      </c>
      <c r="G474" s="53">
        <f>SUM(G472:G473)</f>
        <v>467862.47</v>
      </c>
      <c r="H474" s="53">
        <f>SUM(H472:H473)</f>
        <v>584515.97</v>
      </c>
      <c r="I474" s="53">
        <f>SUM(I472:I473)</f>
        <v>588600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279209.71000000089</v>
      </c>
      <c r="G476" s="53">
        <f>(G465+G470)- G474</f>
        <v>670.49000000004889</v>
      </c>
      <c r="H476" s="53">
        <f>(H465+H470)- H474</f>
        <v>0</v>
      </c>
      <c r="I476" s="53">
        <f>(I465+I470)- I474</f>
        <v>0</v>
      </c>
      <c r="J476" s="53">
        <f>(J465+J470)- J474</f>
        <v>210696.41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20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3970000</v>
      </c>
      <c r="G493" s="18">
        <v>1770000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5.71</v>
      </c>
      <c r="G494" s="18">
        <v>4.91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1190000</v>
      </c>
      <c r="G495" s="18">
        <v>720000</v>
      </c>
      <c r="H495" s="18"/>
      <c r="I495" s="18"/>
      <c r="J495" s="18"/>
      <c r="K495" s="53">
        <f>SUM(F495:J495)</f>
        <v>1910000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270000</v>
      </c>
      <c r="G497" s="18">
        <v>105000</v>
      </c>
      <c r="H497" s="18"/>
      <c r="I497" s="18"/>
      <c r="J497" s="18"/>
      <c r="K497" s="53">
        <f t="shared" si="35"/>
        <v>375000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920000</v>
      </c>
      <c r="G498" s="204">
        <f>G495-G497</f>
        <v>615000</v>
      </c>
      <c r="H498" s="204"/>
      <c r="I498" s="204"/>
      <c r="J498" s="204"/>
      <c r="K498" s="205">
        <f t="shared" si="35"/>
        <v>1535000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142025-60662.5</f>
        <v>81362.5</v>
      </c>
      <c r="G499" s="18">
        <f>113500-33375</f>
        <v>80125</v>
      </c>
      <c r="H499" s="18"/>
      <c r="I499" s="18"/>
      <c r="J499" s="18"/>
      <c r="K499" s="53">
        <f t="shared" si="35"/>
        <v>161487.5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1001362.5</v>
      </c>
      <c r="G500" s="42">
        <f>SUM(G498:G499)</f>
        <v>695125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1696487.5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290000</v>
      </c>
      <c r="G501" s="204">
        <v>110000</v>
      </c>
      <c r="H501" s="204"/>
      <c r="I501" s="204"/>
      <c r="J501" s="204"/>
      <c r="K501" s="205">
        <f t="shared" si="35"/>
        <v>400000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34212.5+26450</f>
        <v>60662.5</v>
      </c>
      <c r="G502" s="18">
        <f>15375+12625</f>
        <v>28000</v>
      </c>
      <c r="H502" s="18"/>
      <c r="I502" s="18"/>
      <c r="J502" s="18"/>
      <c r="K502" s="53">
        <f t="shared" si="35"/>
        <v>88662.5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350662.5</v>
      </c>
      <c r="G503" s="42">
        <f>SUM(G501:G502)</f>
        <v>138000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488662.5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874299+316094.34+9843.75+17788.37+5953.73+139959.8</f>
        <v>1363938.9900000002</v>
      </c>
      <c r="G521" s="18">
        <f>(575234.48-84561.44)+10812.47</f>
        <v>501485.50999999995</v>
      </c>
      <c r="H521" s="18">
        <f>833.84+(147131.44-17788.37-5953.73-4259.52)+5227.9+102608.86</f>
        <v>227800.41999999998</v>
      </c>
      <c r="I521" s="18">
        <v>9613.44</v>
      </c>
      <c r="J521" s="18">
        <v>4909.6499999999996</v>
      </c>
      <c r="K521" s="18"/>
      <c r="L521" s="88">
        <f>SUM(F521:K521)</f>
        <v>2107748.0100000002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1363938.9900000002</v>
      </c>
      <c r="G524" s="108">
        <f t="shared" ref="G524:L524" si="36">SUM(G521:G523)</f>
        <v>501485.50999999995</v>
      </c>
      <c r="H524" s="108">
        <f t="shared" si="36"/>
        <v>227800.41999999998</v>
      </c>
      <c r="I524" s="108">
        <f t="shared" si="36"/>
        <v>9613.44</v>
      </c>
      <c r="J524" s="108">
        <f t="shared" si="36"/>
        <v>4909.6499999999996</v>
      </c>
      <c r="K524" s="108">
        <f t="shared" si="36"/>
        <v>0</v>
      </c>
      <c r="L524" s="89">
        <f t="shared" si="36"/>
        <v>2107748.0100000002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146015+203957.5+20311+131967</f>
        <v>502250.5</v>
      </c>
      <c r="G526" s="18">
        <v>209550.75</v>
      </c>
      <c r="H526" s="18">
        <f>18950</f>
        <v>18950</v>
      </c>
      <c r="I526" s="18"/>
      <c r="J526" s="18"/>
      <c r="K526" s="18"/>
      <c r="L526" s="88">
        <f>SUM(F526:K526)</f>
        <v>730751.25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502250.5</v>
      </c>
      <c r="G529" s="89">
        <f t="shared" ref="G529:L529" si="37">SUM(G526:G528)</f>
        <v>209550.75</v>
      </c>
      <c r="H529" s="89">
        <f t="shared" si="37"/>
        <v>18950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730751.25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81561+68920.05+4259.52</f>
        <v>154740.56999999998</v>
      </c>
      <c r="G531" s="18">
        <v>84561.44</v>
      </c>
      <c r="H531" s="18">
        <f>3049.13+900</f>
        <v>3949.13</v>
      </c>
      <c r="I531" s="18">
        <f>2333.6</f>
        <v>2333.6</v>
      </c>
      <c r="J531" s="18"/>
      <c r="K531" s="18">
        <v>815</v>
      </c>
      <c r="L531" s="88">
        <f>SUM(F531:K531)</f>
        <v>246399.74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154740.56999999998</v>
      </c>
      <c r="G534" s="89">
        <f t="shared" ref="G534:L534" si="38">SUM(G531:G533)</f>
        <v>84561.44</v>
      </c>
      <c r="H534" s="89">
        <f t="shared" si="38"/>
        <v>3949.13</v>
      </c>
      <c r="I534" s="89">
        <f t="shared" si="38"/>
        <v>2333.6</v>
      </c>
      <c r="J534" s="89">
        <f t="shared" si="38"/>
        <v>0</v>
      </c>
      <c r="K534" s="89">
        <f t="shared" si="38"/>
        <v>815</v>
      </c>
      <c r="L534" s="89">
        <f t="shared" si="38"/>
        <v>246399.74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92713.600000000006</v>
      </c>
      <c r="I541" s="18"/>
      <c r="J541" s="18"/>
      <c r="K541" s="18"/>
      <c r="L541" s="88">
        <f>SUM(F541:K541)</f>
        <v>92713.600000000006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92713.600000000006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92713.600000000006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2020930.0600000003</v>
      </c>
      <c r="G545" s="89">
        <f t="shared" ref="G545:L545" si="41">G524+G529+G534+G539+G544</f>
        <v>795597.7</v>
      </c>
      <c r="H545" s="89">
        <f t="shared" si="41"/>
        <v>343413.15</v>
      </c>
      <c r="I545" s="89">
        <f t="shared" si="41"/>
        <v>11947.04</v>
      </c>
      <c r="J545" s="89">
        <f t="shared" si="41"/>
        <v>4909.6499999999996</v>
      </c>
      <c r="K545" s="89">
        <f t="shared" si="41"/>
        <v>815</v>
      </c>
      <c r="L545" s="89">
        <f t="shared" si="41"/>
        <v>3177612.6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2107748.0100000002</v>
      </c>
      <c r="G549" s="87">
        <f>L526</f>
        <v>730751.25</v>
      </c>
      <c r="H549" s="87">
        <f>L531</f>
        <v>246399.74</v>
      </c>
      <c r="I549" s="87">
        <f>L536</f>
        <v>0</v>
      </c>
      <c r="J549" s="87">
        <f>L541</f>
        <v>92713.600000000006</v>
      </c>
      <c r="K549" s="87">
        <f>SUM(F549:J549)</f>
        <v>3177612.6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2107748.0100000002</v>
      </c>
      <c r="G552" s="89">
        <f t="shared" si="42"/>
        <v>730751.25</v>
      </c>
      <c r="H552" s="89">
        <f t="shared" si="42"/>
        <v>246399.74</v>
      </c>
      <c r="I552" s="89">
        <f t="shared" si="42"/>
        <v>0</v>
      </c>
      <c r="J552" s="89">
        <f t="shared" si="42"/>
        <v>92713.600000000006</v>
      </c>
      <c r="K552" s="89">
        <f t="shared" si="42"/>
        <v>3177612.6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55184.31</v>
      </c>
      <c r="G562" s="18">
        <f>3196.11+747.44+7803.81+78+198+119+275.92+17073.8+458.58</f>
        <v>29950.660000000003</v>
      </c>
      <c r="H562" s="18"/>
      <c r="I562" s="18"/>
      <c r="J562" s="18"/>
      <c r="K562" s="18"/>
      <c r="L562" s="88">
        <f>SUM(F562:K562)</f>
        <v>85134.97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55184.31</v>
      </c>
      <c r="G565" s="89">
        <f t="shared" si="44"/>
        <v>29950.660000000003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85134.97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55184.31</v>
      </c>
      <c r="G571" s="89">
        <f t="shared" ref="G571:L571" si="46">G560+G565+G570</f>
        <v>29950.660000000003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85134.97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24095.29</f>
        <v>24095.29</v>
      </c>
      <c r="G579" s="18"/>
      <c r="H579" s="18"/>
      <c r="I579" s="87">
        <f t="shared" si="47"/>
        <v>24095.29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30397.21-24095.29</f>
        <v>6301.9199999999983</v>
      </c>
      <c r="G582" s="18"/>
      <c r="H582" s="18"/>
      <c r="I582" s="87">
        <f t="shared" si="47"/>
        <v>6301.9199999999983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547678</v>
      </c>
      <c r="I591" s="18"/>
      <c r="J591" s="18"/>
      <c r="K591" s="104">
        <f t="shared" ref="K591:K597" si="48">SUM(H591:J591)</f>
        <v>547678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92713.600000000006</v>
      </c>
      <c r="I592" s="18"/>
      <c r="J592" s="18"/>
      <c r="K592" s="104">
        <f t="shared" si="48"/>
        <v>92713.600000000006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9660.93</v>
      </c>
      <c r="I594" s="18"/>
      <c r="J594" s="18"/>
      <c r="K594" s="104">
        <f t="shared" si="48"/>
        <v>9660.93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4673.28</v>
      </c>
      <c r="I595" s="18"/>
      <c r="J595" s="18"/>
      <c r="K595" s="104">
        <f t="shared" si="48"/>
        <v>4673.28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40751.410000000003</v>
      </c>
      <c r="I597" s="18"/>
      <c r="J597" s="18"/>
      <c r="K597" s="104">
        <f t="shared" si="48"/>
        <v>40751.410000000003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695477.22000000009</v>
      </c>
      <c r="I598" s="108">
        <f>SUM(I591:I597)</f>
        <v>0</v>
      </c>
      <c r="J598" s="108">
        <f>SUM(J591:J597)</f>
        <v>0</v>
      </c>
      <c r="K598" s="108">
        <f>SUM(K591:K597)</f>
        <v>695477.22000000009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260243.41</v>
      </c>
      <c r="I604" s="18"/>
      <c r="J604" s="18"/>
      <c r="K604" s="104">
        <f>SUM(H604:J604)</f>
        <v>260243.41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260243.41</v>
      </c>
      <c r="I605" s="108">
        <f>SUM(I602:I604)</f>
        <v>0</v>
      </c>
      <c r="J605" s="108">
        <f>SUM(J602:J604)</f>
        <v>0</v>
      </c>
      <c r="K605" s="108">
        <f>SUM(K602:K604)</f>
        <v>260243.41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2000</v>
      </c>
      <c r="G611" s="18"/>
      <c r="H611" s="18"/>
      <c r="I611" s="18"/>
      <c r="J611" s="18"/>
      <c r="K611" s="18"/>
      <c r="L611" s="88">
        <f>SUM(F611:K611)</f>
        <v>2000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2000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2000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408114.43000000005</v>
      </c>
      <c r="H617" s="109">
        <f>SUM(F52)</f>
        <v>408114.43000000005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14717.61</v>
      </c>
      <c r="H618" s="109">
        <f>SUM(G52)</f>
        <v>14717.61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103465.26</v>
      </c>
      <c r="H619" s="109">
        <f>SUM(H52)</f>
        <v>103465.26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210696.41</v>
      </c>
      <c r="H621" s="109">
        <f>SUM(J52)</f>
        <v>210696.41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279209.71000000002</v>
      </c>
      <c r="H622" s="109">
        <f>F476</f>
        <v>279209.71000000089</v>
      </c>
      <c r="I622" s="121" t="s">
        <v>101</v>
      </c>
      <c r="J622" s="109">
        <f t="shared" ref="J622:J655" si="50">G622-H622</f>
        <v>-8.7311491370201111E-10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670.49</v>
      </c>
      <c r="H623" s="109">
        <f>G476</f>
        <v>670.49000000004889</v>
      </c>
      <c r="I623" s="121" t="s">
        <v>102</v>
      </c>
      <c r="J623" s="109">
        <f t="shared" si="50"/>
        <v>-4.8885340220294893E-11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210696.41</v>
      </c>
      <c r="H626" s="109">
        <f>J476</f>
        <v>210696.41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18370471.02</v>
      </c>
      <c r="H627" s="104">
        <f>SUM(F468)</f>
        <v>18370471.02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460276.95999999996</v>
      </c>
      <c r="H628" s="104">
        <f>SUM(G468)</f>
        <v>460276.96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584515.97</v>
      </c>
      <c r="H629" s="104">
        <f>SUM(H468)</f>
        <v>584515.97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588600</v>
      </c>
      <c r="H630" s="104">
        <f>SUM(I468)</f>
        <v>588600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-1080.8400000000001</v>
      </c>
      <c r="H631" s="104">
        <f>SUM(J468)</f>
        <v>-1080.8399999999999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18281618.309999999</v>
      </c>
      <c r="H632" s="104">
        <f>SUM(F472)</f>
        <v>18281618.309999999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584515.97000000009</v>
      </c>
      <c r="H633" s="104">
        <f>SUM(H472)</f>
        <v>584515.97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210549.39</v>
      </c>
      <c r="H634" s="104">
        <f>I369</f>
        <v>210549.39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467862.47</v>
      </c>
      <c r="H635" s="104">
        <f>SUM(G472)</f>
        <v>467862.47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588600</v>
      </c>
      <c r="H636" s="104">
        <f>SUM(I472)</f>
        <v>588600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-1080.8400000000001</v>
      </c>
      <c r="H637" s="164">
        <f>SUM(J468)</f>
        <v>-1080.8399999999999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210696.41</v>
      </c>
      <c r="H640" s="104">
        <f>SUM(G461)</f>
        <v>210696.41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210696.41</v>
      </c>
      <c r="H642" s="104">
        <f>SUM(I461)</f>
        <v>210696.41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2905.96</v>
      </c>
      <c r="H644" s="104">
        <f>H408</f>
        <v>2905.96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-1080.8400000000001</v>
      </c>
      <c r="H646" s="104">
        <f>L408</f>
        <v>-1080.8400000000001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695477.22000000009</v>
      </c>
      <c r="H647" s="104">
        <f>L208+L226+L244</f>
        <v>695477.22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260243.41</v>
      </c>
      <c r="H648" s="104">
        <f>(J257+J338)-(J255+J336)</f>
        <v>260243.41000000003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695477.22</v>
      </c>
      <c r="H649" s="104">
        <f>H598</f>
        <v>695477.22000000009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17500</v>
      </c>
      <c r="H652" s="104">
        <f>K263+K345</f>
        <v>17500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18425131.249999996</v>
      </c>
      <c r="G660" s="19">
        <f>(L229+L309+L359)</f>
        <v>0</v>
      </c>
      <c r="H660" s="19">
        <f>(L247+L328+L360)</f>
        <v>0</v>
      </c>
      <c r="I660" s="19">
        <f>SUM(F660:H660)</f>
        <v>18425131.249999996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264002.63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264002.63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695477.22</v>
      </c>
      <c r="G662" s="19">
        <f>(L226+L306)-(J226+J306)</f>
        <v>0</v>
      </c>
      <c r="H662" s="19">
        <f>(L244+L325)-(J244+J325)</f>
        <v>0</v>
      </c>
      <c r="I662" s="19">
        <f>SUM(F662:H662)</f>
        <v>695477.22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292640.62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292640.62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17173010.779999997</v>
      </c>
      <c r="G664" s="19">
        <f>G660-SUM(G661:G663)</f>
        <v>0</v>
      </c>
      <c r="H664" s="19">
        <f>H660-SUM(H661:H663)</f>
        <v>0</v>
      </c>
      <c r="I664" s="19">
        <f>I660-SUM(I661:I663)</f>
        <v>17173010.779999997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1157.8499999999999</v>
      </c>
      <c r="G665" s="248"/>
      <c r="H665" s="248"/>
      <c r="I665" s="19">
        <f>SUM(F665:H665)</f>
        <v>1157.8499999999999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14831.81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14831.81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14831.81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14831.81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Hampton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6285409.3099999996</v>
      </c>
      <c r="C9" s="229">
        <f>'DOE25'!G197+'DOE25'!G215+'DOE25'!G233+'DOE25'!G276+'DOE25'!G295+'DOE25'!G314</f>
        <v>2560621.2199999997</v>
      </c>
    </row>
    <row r="10" spans="1:3" x14ac:dyDescent="0.2">
      <c r="A10" t="s">
        <v>779</v>
      </c>
      <c r="B10" s="240">
        <f>1838489.85+1772822.39+2153053.17+147352.35</f>
        <v>5911717.7599999998</v>
      </c>
      <c r="C10" s="240">
        <f>440973.95+816234.14+1255098+36.57+20394.97</f>
        <v>2532737.63</v>
      </c>
    </row>
    <row r="11" spans="1:3" x14ac:dyDescent="0.2">
      <c r="A11" t="s">
        <v>780</v>
      </c>
      <c r="B11" s="240">
        <f>139271.98+12169.26+49642.46</f>
        <v>201083.7</v>
      </c>
      <c r="C11" s="240">
        <f>11585.25+3797.65</f>
        <v>15382.9</v>
      </c>
    </row>
    <row r="12" spans="1:3" x14ac:dyDescent="0.2">
      <c r="A12" t="s">
        <v>781</v>
      </c>
      <c r="B12" s="240">
        <f>163407.85+9200</f>
        <v>172607.85</v>
      </c>
      <c r="C12" s="240">
        <v>12500.69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6285409.3099999996</v>
      </c>
      <c r="C13" s="231">
        <f>SUM(C10:C12)</f>
        <v>2560621.2199999997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1518679.5600000003</v>
      </c>
      <c r="C18" s="229">
        <f>'DOE25'!G198+'DOE25'!G216+'DOE25'!G234+'DOE25'!G277+'DOE25'!G296+'DOE25'!G315</f>
        <v>586046.94999999995</v>
      </c>
    </row>
    <row r="19" spans="1:3" x14ac:dyDescent="0.2">
      <c r="A19" t="s">
        <v>779</v>
      </c>
      <c r="B19" s="240">
        <f>874299+17788.37+1250+131656.8</f>
        <v>1024994.1699999999</v>
      </c>
      <c r="C19" s="240">
        <f>68244.68+126319.57+276735.14+10272.92</f>
        <v>481572.31</v>
      </c>
    </row>
    <row r="20" spans="1:3" x14ac:dyDescent="0.2">
      <c r="A20" t="s">
        <v>780</v>
      </c>
      <c r="B20" s="240">
        <f>316094.34+9843.75+5953.73+7053</f>
        <v>338944.82</v>
      </c>
      <c r="C20" s="240">
        <f>25389.72+3773.9+539.55</f>
        <v>29703.170000000002</v>
      </c>
    </row>
    <row r="21" spans="1:3" x14ac:dyDescent="0.2">
      <c r="A21" t="s">
        <v>781</v>
      </c>
      <c r="B21" s="240">
        <f>81561+68920.05+4259.52</f>
        <v>154740.56999999998</v>
      </c>
      <c r="C21" s="240">
        <f>11837.65+16206.81+46727.01</f>
        <v>74771.47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1518679.56</v>
      </c>
      <c r="C22" s="231">
        <f>SUM(C19:C21)</f>
        <v>586046.94999999995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78399.5</v>
      </c>
      <c r="C36" s="235">
        <f>'DOE25'!G200+'DOE25'!G218+'DOE25'!G236+'DOE25'!G279+'DOE25'!G298+'DOE25'!G317</f>
        <v>5997.56</v>
      </c>
    </row>
    <row r="37" spans="1:3" x14ac:dyDescent="0.2">
      <c r="A37" t="s">
        <v>779</v>
      </c>
      <c r="B37" s="240">
        <f>46834+3378+10000+6450+2000</f>
        <v>68662</v>
      </c>
      <c r="C37" s="240">
        <v>5252.64</v>
      </c>
    </row>
    <row r="38" spans="1:3" x14ac:dyDescent="0.2">
      <c r="A38" t="s">
        <v>780</v>
      </c>
      <c r="B38" s="240">
        <f>2737.5+7000</f>
        <v>9737.5</v>
      </c>
      <c r="C38" s="240">
        <v>744.92</v>
      </c>
    </row>
    <row r="39" spans="1:3" x14ac:dyDescent="0.2">
      <c r="A39" t="s">
        <v>781</v>
      </c>
      <c r="B39" s="240">
        <v>0</v>
      </c>
      <c r="C39" s="240">
        <v>0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78399.5</v>
      </c>
      <c r="C40" s="231">
        <f>SUM(C37:C39)</f>
        <v>5997.56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Hampton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11050693.919999998</v>
      </c>
      <c r="D5" s="20">
        <f>SUM('DOE25'!L197:L200)+SUM('DOE25'!L215:L218)+SUM('DOE25'!L233:L236)-F5-G5</f>
        <v>11046690.969999999</v>
      </c>
      <c r="E5" s="243"/>
      <c r="F5" s="255">
        <f>SUM('DOE25'!J197:J200)+SUM('DOE25'!J215:J218)+SUM('DOE25'!J233:J236)</f>
        <v>3187.95</v>
      </c>
      <c r="G5" s="53">
        <f>SUM('DOE25'!K197:K200)+SUM('DOE25'!K215:K218)+SUM('DOE25'!K233:K236)</f>
        <v>815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1488209.4599999997</v>
      </c>
      <c r="D6" s="20">
        <f>'DOE25'!L202+'DOE25'!L220+'DOE25'!L238-F6-G6</f>
        <v>1488209.4599999997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1125648.23</v>
      </c>
      <c r="D7" s="20">
        <f>'DOE25'!L203+'DOE25'!L221+'DOE25'!L239-F7-G7</f>
        <v>908703.08</v>
      </c>
      <c r="E7" s="243"/>
      <c r="F7" s="255">
        <f>'DOE25'!J203+'DOE25'!J221+'DOE25'!J239</f>
        <v>215960.15000000002</v>
      </c>
      <c r="G7" s="53">
        <f>'DOE25'!K203+'DOE25'!K221+'DOE25'!K239</f>
        <v>985</v>
      </c>
      <c r="H7" s="259"/>
    </row>
    <row r="8" spans="1:9" x14ac:dyDescent="0.2">
      <c r="A8" s="32">
        <v>2300</v>
      </c>
      <c r="B8" t="s">
        <v>802</v>
      </c>
      <c r="C8" s="245">
        <f t="shared" si="0"/>
        <v>273264.05000000005</v>
      </c>
      <c r="D8" s="243"/>
      <c r="E8" s="20">
        <f>'DOE25'!L204+'DOE25'!L222+'DOE25'!L240-F8-G8-D9-D11</f>
        <v>261127.45000000004</v>
      </c>
      <c r="F8" s="255">
        <f>'DOE25'!J204+'DOE25'!J222+'DOE25'!J240</f>
        <v>0</v>
      </c>
      <c r="G8" s="53">
        <f>'DOE25'!K204+'DOE25'!K222+'DOE25'!K240</f>
        <v>12136.599999999999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64591.4</v>
      </c>
      <c r="D9" s="244">
        <v>64591.4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15750</v>
      </c>
      <c r="D10" s="243"/>
      <c r="E10" s="244">
        <v>15750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220187.44999999998</v>
      </c>
      <c r="D11" s="244">
        <f>120000+9180+12924+49880+3815.82+5372.08+19015.55</f>
        <v>220187.44999999998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928176.87000000011</v>
      </c>
      <c r="D12" s="20">
        <f>'DOE25'!L205+'DOE25'!L223+'DOE25'!L241-F12-G12</f>
        <v>924348.87000000011</v>
      </c>
      <c r="E12" s="243"/>
      <c r="F12" s="255">
        <f>'DOE25'!J205+'DOE25'!J223+'DOE25'!J241</f>
        <v>0</v>
      </c>
      <c r="G12" s="53">
        <f>'DOE25'!K205+'DOE25'!K223+'DOE25'!K241</f>
        <v>3828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1526504.21</v>
      </c>
      <c r="D14" s="20">
        <f>'DOE25'!L207+'DOE25'!L225+'DOE25'!L243-F14-G14</f>
        <v>1500226.11</v>
      </c>
      <c r="E14" s="243"/>
      <c r="F14" s="255">
        <f>'DOE25'!J207+'DOE25'!J225+'DOE25'!J243</f>
        <v>26046.660000000003</v>
      </c>
      <c r="G14" s="53">
        <f>'DOE25'!K207+'DOE25'!K225+'DOE25'!K243</f>
        <v>231.44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695477.22</v>
      </c>
      <c r="D15" s="20">
        <f>'DOE25'!L208+'DOE25'!L226+'DOE25'!L244-F15-G15</f>
        <v>695477.22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10961.84</v>
      </c>
      <c r="D19" s="20">
        <f>'DOE25'!L253-F19-G19</f>
        <v>961.84000000000015</v>
      </c>
      <c r="E19" s="243"/>
      <c r="F19" s="255">
        <f>'DOE25'!J253</f>
        <v>10000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371866.16</v>
      </c>
      <c r="D22" s="243"/>
      <c r="E22" s="243"/>
      <c r="F22" s="255">
        <f>'DOE25'!L255+'DOE25'!L336</f>
        <v>371866.16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469037.5</v>
      </c>
      <c r="D25" s="243"/>
      <c r="E25" s="243"/>
      <c r="F25" s="258"/>
      <c r="G25" s="256"/>
      <c r="H25" s="257">
        <f>'DOE25'!L260+'DOE25'!L261+'DOE25'!L341+'DOE25'!L342</f>
        <v>469037.5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305464.5</v>
      </c>
      <c r="D29" s="20">
        <f>'DOE25'!L358+'DOE25'!L359+'DOE25'!L360-'DOE25'!I367-F29-G29</f>
        <v>301610.81000000006</v>
      </c>
      <c r="E29" s="243"/>
      <c r="F29" s="255">
        <f>'DOE25'!J358+'DOE25'!J359+'DOE25'!J360</f>
        <v>326.97000000000003</v>
      </c>
      <c r="G29" s="53">
        <f>'DOE25'!K358+'DOE25'!K359+'DOE25'!K360</f>
        <v>3526.72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584515.97000000009</v>
      </c>
      <c r="D31" s="20">
        <f>'DOE25'!L290+'DOE25'!L309+'DOE25'!L328+'DOE25'!L333+'DOE25'!L334+'DOE25'!L335-F31-G31</f>
        <v>578077.32000000007</v>
      </c>
      <c r="E31" s="243"/>
      <c r="F31" s="255">
        <f>'DOE25'!J290+'DOE25'!J309+'DOE25'!J328+'DOE25'!J333+'DOE25'!J334+'DOE25'!J335</f>
        <v>5048.6499999999996</v>
      </c>
      <c r="G31" s="53">
        <f>'DOE25'!K290+'DOE25'!K309+'DOE25'!K328+'DOE25'!K333+'DOE25'!K334+'DOE25'!K335</f>
        <v>1390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17729084.529999994</v>
      </c>
      <c r="E33" s="246">
        <f>SUM(E5:E31)</f>
        <v>276877.45000000007</v>
      </c>
      <c r="F33" s="246">
        <f>SUM(F5:F31)</f>
        <v>632436.54</v>
      </c>
      <c r="G33" s="246">
        <f>SUM(G5:G31)</f>
        <v>22912.76</v>
      </c>
      <c r="H33" s="246">
        <f>SUM(H5:H31)</f>
        <v>469037.5</v>
      </c>
    </row>
    <row r="35" spans="2:8" ht="12" thickBot="1" x14ac:dyDescent="0.25">
      <c r="B35" s="253" t="s">
        <v>847</v>
      </c>
      <c r="D35" s="254">
        <f>E33</f>
        <v>276877.45000000007</v>
      </c>
      <c r="E35" s="249"/>
    </row>
    <row r="36" spans="2:8" ht="12" thickTop="1" x14ac:dyDescent="0.2">
      <c r="B36" t="s">
        <v>815</v>
      </c>
      <c r="D36" s="20">
        <f>D33</f>
        <v>17729084.529999994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Hampton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289916.98000000004</v>
      </c>
      <c r="D8" s="95">
        <f>'DOE25'!G9</f>
        <v>914.11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210696.41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103465.26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12722.88</v>
      </c>
      <c r="E12" s="95">
        <f>'DOE25'!H13</f>
        <v>103465.26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14732.19</v>
      </c>
      <c r="D13" s="95">
        <f>'DOE25'!G14</f>
        <v>1080.6199999999999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408114.43000000005</v>
      </c>
      <c r="D18" s="41">
        <f>SUM(D8:D17)</f>
        <v>14717.61</v>
      </c>
      <c r="E18" s="41">
        <f>SUM(E8:E17)</f>
        <v>103465.26</v>
      </c>
      <c r="F18" s="41">
        <f>SUM(F8:F17)</f>
        <v>0</v>
      </c>
      <c r="G18" s="41">
        <f>SUM(G8:G17)</f>
        <v>210696.41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14047.12</v>
      </c>
      <c r="E21" s="95">
        <f>'DOE25'!H22</f>
        <v>103465.26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66826.44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62078.28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128904.72</v>
      </c>
      <c r="D31" s="41">
        <f>SUM(D21:D30)</f>
        <v>14047.12</v>
      </c>
      <c r="E31" s="41">
        <f>SUM(E21:E30)</f>
        <v>103465.26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210696.41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670.49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279209.71000000002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279209.71000000002</v>
      </c>
      <c r="D50" s="41">
        <f>SUM(D34:D49)</f>
        <v>670.49</v>
      </c>
      <c r="E50" s="41">
        <f>SUM(E34:E49)</f>
        <v>0</v>
      </c>
      <c r="F50" s="41">
        <f>SUM(F34:F49)</f>
        <v>0</v>
      </c>
      <c r="G50" s="41">
        <f>SUM(G34:G49)</f>
        <v>210696.41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408114.43000000005</v>
      </c>
      <c r="D51" s="41">
        <f>D50+D31</f>
        <v>14717.61</v>
      </c>
      <c r="E51" s="41">
        <f>E50+E31</f>
        <v>103465.26</v>
      </c>
      <c r="F51" s="41">
        <f>F50+F31</f>
        <v>0</v>
      </c>
      <c r="G51" s="41">
        <f>G50+G31</f>
        <v>210696.41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13382495</v>
      </c>
      <c r="D56" s="95">
        <f>'DOE25'!G60</f>
        <v>0</v>
      </c>
      <c r="E56" s="95">
        <f>'DOE25'!H60</f>
        <v>0</v>
      </c>
      <c r="F56" s="95">
        <f>'DOE25'!I60</f>
        <v>588600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9600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2905.96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264002.63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199996.85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-3986.8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209596.85</v>
      </c>
      <c r="D62" s="130">
        <f>SUM(D57:D61)</f>
        <v>264002.63</v>
      </c>
      <c r="E62" s="130">
        <f>SUM(E57:E61)</f>
        <v>0</v>
      </c>
      <c r="F62" s="130">
        <f>SUM(F57:F61)</f>
        <v>0</v>
      </c>
      <c r="G62" s="130">
        <f>SUM(G57:G61)</f>
        <v>-1080.8400000000001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13592091.85</v>
      </c>
      <c r="D63" s="22">
        <f>D56+D62</f>
        <v>264002.63</v>
      </c>
      <c r="E63" s="22">
        <f>E56+E62</f>
        <v>0</v>
      </c>
      <c r="F63" s="22">
        <f>F56+F62</f>
        <v>588600</v>
      </c>
      <c r="G63" s="22">
        <f>G56+G62</f>
        <v>-1080.8400000000001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90781.119999999995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4441326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4532107.12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115737.7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5251.75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1856</v>
      </c>
      <c r="D77" s="95">
        <f>SUM('DOE25'!G131:G135)</f>
        <v>7461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122845.45</v>
      </c>
      <c r="D78" s="130">
        <f>SUM(D72:D77)</f>
        <v>7461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4654952.57</v>
      </c>
      <c r="D81" s="130">
        <f>SUM(D79:D80)+D78+D70</f>
        <v>7461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93492.88</v>
      </c>
      <c r="D88" s="95">
        <f>SUM('DOE25'!G153:G161)</f>
        <v>171313.33</v>
      </c>
      <c r="E88" s="95">
        <f>SUM('DOE25'!H153:H161)</f>
        <v>584515.97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93492.88</v>
      </c>
      <c r="D91" s="131">
        <f>SUM(D85:D90)</f>
        <v>171313.33</v>
      </c>
      <c r="E91" s="131">
        <f>SUM(E85:E90)</f>
        <v>584515.97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17500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29933.72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29933.72</v>
      </c>
      <c r="D103" s="86">
        <f>SUM(D93:D102)</f>
        <v>17500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18370471.02</v>
      </c>
      <c r="D104" s="86">
        <f>D63+D81+D91+D103</f>
        <v>460276.95999999996</v>
      </c>
      <c r="E104" s="86">
        <f>E63+E81+E91+E103</f>
        <v>584515.97</v>
      </c>
      <c r="F104" s="86">
        <f>F63+F81+F91+F103</f>
        <v>588600</v>
      </c>
      <c r="G104" s="86">
        <f>G63+G81+G103</f>
        <v>-1080.8400000000001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8801827.2599999979</v>
      </c>
      <c r="D109" s="24" t="s">
        <v>289</v>
      </c>
      <c r="E109" s="95">
        <f>('DOE25'!L276)+('DOE25'!L295)+('DOE25'!L314)</f>
        <v>247910.72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2116640.7400000002</v>
      </c>
      <c r="D110" s="24" t="s">
        <v>289</v>
      </c>
      <c r="E110" s="95">
        <f>('DOE25'!L277)+('DOE25'!L296)+('DOE25'!L315)</f>
        <v>267904.22000000003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132225.92000000001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39500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10961.84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11101155.759999998</v>
      </c>
      <c r="D115" s="86">
        <f>SUM(D109:D114)</f>
        <v>0</v>
      </c>
      <c r="E115" s="86">
        <f>SUM(E109:E114)</f>
        <v>515814.94000000006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1488209.4599999997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1125648.23</v>
      </c>
      <c r="D119" s="24" t="s">
        <v>289</v>
      </c>
      <c r="E119" s="95">
        <f>+('DOE25'!L282)+('DOE25'!L301)+('DOE25'!L320)</f>
        <v>68201.03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558042.9</v>
      </c>
      <c r="D120" s="24" t="s">
        <v>289</v>
      </c>
      <c r="E120" s="95">
        <f>+('DOE25'!L283)+('DOE25'!L302)+('DOE25'!L321)</f>
        <v>500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928176.87000000011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1526504.21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695477.22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467862.47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6322058.8899999997</v>
      </c>
      <c r="D128" s="86">
        <f>SUM(D118:D127)</f>
        <v>467862.47</v>
      </c>
      <c r="E128" s="86">
        <f>SUM(E118:E127)</f>
        <v>68701.03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371866.16</v>
      </c>
      <c r="D130" s="24" t="s">
        <v>289</v>
      </c>
      <c r="E130" s="129">
        <f>'DOE25'!L336</f>
        <v>0</v>
      </c>
      <c r="F130" s="129">
        <f>SUM('DOE25'!L374:'DOE25'!L380)</f>
        <v>558666.28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375000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94037.5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29933.72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17500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-1080.8400000000001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1080.8400000000001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858403.65999999992</v>
      </c>
      <c r="D144" s="141">
        <f>SUM(D130:D143)</f>
        <v>0</v>
      </c>
      <c r="E144" s="141">
        <f>SUM(E130:E143)</f>
        <v>0</v>
      </c>
      <c r="F144" s="141">
        <f>SUM(F130:F143)</f>
        <v>588600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18281618.309999999</v>
      </c>
      <c r="D145" s="86">
        <f>(D115+D128+D144)</f>
        <v>467862.47</v>
      </c>
      <c r="E145" s="86">
        <f>(E115+E128+E144)</f>
        <v>584515.97000000009</v>
      </c>
      <c r="F145" s="86">
        <f>(F115+F128+F144)</f>
        <v>588600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07/96</v>
      </c>
      <c r="C152" s="152" t="str">
        <f>'DOE25'!G491</f>
        <v>07/98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08/16</v>
      </c>
      <c r="C153" s="152" t="str">
        <f>'DOE25'!G492</f>
        <v>08/18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3970000</v>
      </c>
      <c r="C154" s="137">
        <f>'DOE25'!G493</f>
        <v>1770000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5.71</v>
      </c>
      <c r="C155" s="137">
        <f>'DOE25'!G494</f>
        <v>4.91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1190000</v>
      </c>
      <c r="C156" s="137">
        <f>'DOE25'!G495</f>
        <v>720000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1910000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270000</v>
      </c>
      <c r="C158" s="137">
        <f>'DOE25'!G497</f>
        <v>105000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375000</v>
      </c>
    </row>
    <row r="159" spans="1:9" x14ac:dyDescent="0.2">
      <c r="A159" s="22" t="s">
        <v>35</v>
      </c>
      <c r="B159" s="137">
        <f>'DOE25'!F498</f>
        <v>920000</v>
      </c>
      <c r="C159" s="137">
        <f>'DOE25'!G498</f>
        <v>615000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1535000</v>
      </c>
    </row>
    <row r="160" spans="1:9" x14ac:dyDescent="0.2">
      <c r="A160" s="22" t="s">
        <v>36</v>
      </c>
      <c r="B160" s="137">
        <f>'DOE25'!F499</f>
        <v>81362.5</v>
      </c>
      <c r="C160" s="137">
        <f>'DOE25'!G499</f>
        <v>80125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161487.5</v>
      </c>
    </row>
    <row r="161" spans="1:7" x14ac:dyDescent="0.2">
      <c r="A161" s="22" t="s">
        <v>37</v>
      </c>
      <c r="B161" s="137">
        <f>'DOE25'!F500</f>
        <v>1001362.5</v>
      </c>
      <c r="C161" s="137">
        <f>'DOE25'!G500</f>
        <v>695125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1696487.5</v>
      </c>
    </row>
    <row r="162" spans="1:7" x14ac:dyDescent="0.2">
      <c r="A162" s="22" t="s">
        <v>38</v>
      </c>
      <c r="B162" s="137">
        <f>'DOE25'!F501</f>
        <v>290000</v>
      </c>
      <c r="C162" s="137">
        <f>'DOE25'!G501</f>
        <v>110000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400000</v>
      </c>
    </row>
    <row r="163" spans="1:7" x14ac:dyDescent="0.2">
      <c r="A163" s="22" t="s">
        <v>39</v>
      </c>
      <c r="B163" s="137">
        <f>'DOE25'!F502</f>
        <v>60662.5</v>
      </c>
      <c r="C163" s="137">
        <f>'DOE25'!G502</f>
        <v>28000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88662.5</v>
      </c>
    </row>
    <row r="164" spans="1:7" x14ac:dyDescent="0.2">
      <c r="A164" s="22" t="s">
        <v>246</v>
      </c>
      <c r="B164" s="137">
        <f>'DOE25'!F503</f>
        <v>350662.5</v>
      </c>
      <c r="C164" s="137">
        <f>'DOE25'!G503</f>
        <v>138000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488662.5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Hampton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14832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14832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9049738</v>
      </c>
      <c r="D10" s="182">
        <f>ROUND((C10/$C$28)*100,1)</f>
        <v>49.4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2384545</v>
      </c>
      <c r="D11" s="182">
        <f>ROUND((C11/$C$28)*100,1)</f>
        <v>13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132226</v>
      </c>
      <c r="D13" s="182">
        <f>ROUND((C13/$C$28)*100,1)</f>
        <v>0.7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1488209</v>
      </c>
      <c r="D15" s="182">
        <f t="shared" ref="D15:D27" si="0">ROUND((C15/$C$28)*100,1)</f>
        <v>8.1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1193849</v>
      </c>
      <c r="D16" s="182">
        <f t="shared" si="0"/>
        <v>6.5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558543</v>
      </c>
      <c r="D17" s="182">
        <f t="shared" si="0"/>
        <v>3.1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928177</v>
      </c>
      <c r="D18" s="182">
        <f t="shared" si="0"/>
        <v>5.0999999999999996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1526504</v>
      </c>
      <c r="D20" s="182">
        <f t="shared" si="0"/>
        <v>8.3000000000000007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695477</v>
      </c>
      <c r="D21" s="182">
        <f t="shared" si="0"/>
        <v>3.8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39500</v>
      </c>
      <c r="D23" s="182">
        <f t="shared" si="0"/>
        <v>0.2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10962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94038</v>
      </c>
      <c r="D25" s="182">
        <f t="shared" si="0"/>
        <v>0.5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203859.37</v>
      </c>
      <c r="D27" s="182">
        <f t="shared" si="0"/>
        <v>1.1000000000000001</v>
      </c>
    </row>
    <row r="28" spans="1:4" x14ac:dyDescent="0.2">
      <c r="B28" s="187" t="s">
        <v>723</v>
      </c>
      <c r="C28" s="180">
        <f>SUM(C10:C27)</f>
        <v>18305627.370000001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930532</v>
      </c>
    </row>
    <row r="30" spans="1:4" x14ac:dyDescent="0.2">
      <c r="B30" s="187" t="s">
        <v>729</v>
      </c>
      <c r="C30" s="180">
        <f>SUM(C28:C29)</f>
        <v>19236159.370000001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375000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13971095</v>
      </c>
      <c r="D35" s="182">
        <f t="shared" ref="D35:D40" si="1">ROUND((C35/$C$41)*100,1)</f>
        <v>71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208516.00999999978</v>
      </c>
      <c r="D36" s="182">
        <f t="shared" si="1"/>
        <v>1.1000000000000001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4532107</v>
      </c>
      <c r="D37" s="182">
        <f t="shared" si="1"/>
        <v>23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130306</v>
      </c>
      <c r="D38" s="182">
        <f t="shared" si="1"/>
        <v>0.7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849322</v>
      </c>
      <c r="D39" s="182">
        <f t="shared" si="1"/>
        <v>4.3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19691346.009999998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B12" sqref="B1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Hampton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>
        <v>2</v>
      </c>
      <c r="B4" s="219">
        <v>1</v>
      </c>
      <c r="C4" s="285" t="s">
        <v>916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>
        <v>3</v>
      </c>
      <c r="B6" s="219">
        <v>11</v>
      </c>
      <c r="C6" s="285" t="s">
        <v>917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>
        <v>3</v>
      </c>
      <c r="B7" s="219">
        <v>24</v>
      </c>
      <c r="C7" s="285" t="s">
        <v>918</v>
      </c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>
        <v>3</v>
      </c>
      <c r="B8" s="219">
        <v>25</v>
      </c>
      <c r="C8" s="285" t="s">
        <v>919</v>
      </c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>
        <v>3</v>
      </c>
      <c r="B10" s="219">
        <v>24</v>
      </c>
      <c r="C10" s="285" t="s">
        <v>920</v>
      </c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>
        <v>4</v>
      </c>
      <c r="B12" s="219">
        <v>18</v>
      </c>
      <c r="C12" s="285" t="s">
        <v>923</v>
      </c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>
        <v>6</v>
      </c>
      <c r="B14" s="219">
        <v>9</v>
      </c>
      <c r="C14" s="285" t="s">
        <v>921</v>
      </c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>
        <v>16</v>
      </c>
      <c r="B16" s="219">
        <v>10</v>
      </c>
      <c r="C16" s="285" t="s">
        <v>922</v>
      </c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2014-10-09T16:58:43Z</cp:lastPrinted>
  <dcterms:created xsi:type="dcterms:W3CDTF">1997-12-04T19:04:30Z</dcterms:created>
  <dcterms:modified xsi:type="dcterms:W3CDTF">2014-10-09T17:03:14Z</dcterms:modified>
</cp:coreProperties>
</file>