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9995" windowHeight="115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H604" i="1" l="1"/>
  <c r="H597" i="1"/>
  <c r="F367" i="1"/>
  <c r="I358" i="1"/>
  <c r="H521" i="1" l="1"/>
  <c r="K521" i="1"/>
  <c r="G521" i="1"/>
  <c r="F521" i="1"/>
  <c r="C19" i="12"/>
  <c r="C20" i="12"/>
  <c r="C21" i="12"/>
  <c r="C10" i="12"/>
  <c r="C12" i="12"/>
  <c r="G531" i="1"/>
  <c r="F531" i="1" l="1"/>
  <c r="G203" i="1"/>
  <c r="B20" i="12" l="1"/>
  <c r="B10" i="12"/>
  <c r="G276" i="1"/>
  <c r="F276" i="1"/>
  <c r="H255" i="1"/>
  <c r="F29" i="1"/>
  <c r="F9" i="1"/>
  <c r="H208" i="1" l="1"/>
  <c r="H207" i="1"/>
  <c r="H204" i="1"/>
  <c r="I203" i="1"/>
  <c r="H203" i="1"/>
  <c r="F203" i="1"/>
  <c r="F202" i="1"/>
  <c r="J96" i="1"/>
  <c r="B21" i="12"/>
  <c r="B19" i="12"/>
  <c r="B12" i="12"/>
  <c r="H159" i="1"/>
  <c r="H155" i="1"/>
  <c r="H154" i="1"/>
  <c r="F358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C13" i="10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5" i="10"/>
  <c r="C16" i="10"/>
  <c r="C17" i="10"/>
  <c r="C18" i="10"/>
  <c r="C19" i="10"/>
  <c r="C20" i="10"/>
  <c r="C21" i="10"/>
  <c r="L250" i="1"/>
  <c r="L332" i="1"/>
  <c r="L254" i="1"/>
  <c r="L268" i="1"/>
  <c r="L269" i="1"/>
  <c r="L349" i="1"/>
  <c r="L350" i="1"/>
  <c r="I665" i="1"/>
  <c r="I670" i="1"/>
  <c r="L211" i="1"/>
  <c r="L229" i="1"/>
  <c r="L247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J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C16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C22" i="13"/>
  <c r="C138" i="2"/>
  <c r="H33" i="13"/>
  <c r="J622" i="1" l="1"/>
  <c r="K552" i="1"/>
  <c r="K352" i="1"/>
  <c r="C62" i="2"/>
  <c r="C63" i="2" s="1"/>
  <c r="C104" i="2" s="1"/>
  <c r="E33" i="13"/>
  <c r="D35" i="13" s="1"/>
  <c r="F664" i="1"/>
  <c r="H661" i="1"/>
  <c r="H664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G104" i="2" l="1"/>
  <c r="D31" i="13"/>
  <c r="C31" i="13" s="1"/>
  <c r="H667" i="1"/>
  <c r="H672" i="1"/>
  <c r="C6" i="10" s="1"/>
  <c r="I661" i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<sst xmlns="http://schemas.openxmlformats.org/spreadsheetml/2006/main" count="3960" uniqueCount="918">
  <si>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</si>
  <si>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</si>
  <si>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</si>
  <si>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</si>
  <si>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</si>
  <si>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</si>
  <si>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</si>
  <si>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</si>
  <si>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</si>
  <si>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</si>
  <si>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</si>
  <si>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</si>
  <si>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</si>
  <si>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</si>
  <si>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</si>
  <si>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</si>
  <si>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</si>
  <si>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</si>
  <si>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</si>
  <si>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</si>
  <si>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</si>
  <si>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</si>
  <si>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</si>
  <si>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</si>
  <si>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</si>
  <si>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</si>
  <si>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</si>
  <si>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</si>
  <si>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</si>
  <si>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</si>
  <si>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</si>
  <si>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</si>
  <si>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</si>
  <si>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</si>
  <si>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</si>
  <si>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</si>
  <si>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</si>
  <si>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</si>
  <si>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</si>
  <si>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</si>
  <si>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</si>
  <si>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</si>
  <si>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</si>
  <si>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</si>
  <si>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</si>
  <si>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</si>
  <si>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</si>
  <si>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</si>
  <si>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</si>
  <si>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</si>
  <si>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</si>
  <si>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</si>
  <si>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</si>
  <si>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</si>
  <si>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</si>
  <si>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</si>
  <si>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</si>
  <si>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</si>
  <si>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</si>
  <si>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</si>
  <si>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</si>
  <si>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</si>
  <si>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</si>
  <si>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</si>
  <si>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</si>
  <si>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</si>
  <si>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</si>
  <si>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</si>
  <si>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</si>
  <si>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</si>
  <si>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</si>
  <si>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</si>
  <si>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</si>
  <si>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</si>
  <si>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</si>
  <si>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</si>
  <si>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</si>
  <si>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</si>
  <si>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</si>
  <si>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</si>
  <si>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</si>
  <si>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</si>
  <si>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</si>
  <si>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</si>
  <si>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</si>
  <si>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</si>
  <si>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</si>
  <si>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</si>
  <si>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</si>
  <si>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</si>
  <si>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</si>
  <si>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</si>
  <si>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</si>
  <si>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</si>
  <si>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</si>
  <si>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</si>
  <si>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</si>
  <si>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</si>
  <si>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</si>
  <si>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</si>
  <si>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</si>
  <si>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</si>
  <si>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</si>
  <si>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</si>
  <si>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</si>
  <si>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</si>
  <si>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</si>
  <si>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</si>
  <si>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</si>
  <si>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</si>
  <si>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</si>
  <si>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</si>
  <si>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</si>
  <si>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</si>
  <si>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</si>
  <si>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</si>
  <si>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</si>
  <si>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</si>
  <si>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</si>
  <si>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</si>
  <si>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</si>
  <si>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</si>
  <si>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</si>
  <si>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</si>
  <si>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</si>
  <si>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</si>
  <si>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</si>
  <si>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</si>
  <si>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</si>
  <si>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</si>
  <si>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</si>
  <si>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</si>
  <si>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</si>
  <si>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</si>
  <si>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</si>
  <si>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</si>
  <si>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</si>
  <si>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</si>
  <si>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</si>
  <si>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</si>
  <si>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</si>
  <si>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</si>
  <si>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</si>
  <si>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</si>
  <si>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</si>
  <si>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</si>
  <si>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</si>
  <si>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</si>
  <si>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</si>
  <si>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</si>
  <si>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</si>
  <si>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</si>
  <si>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</si>
  <si>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</si>
  <si>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</si>
  <si>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</si>
  <si>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</si>
  <si>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</si>
  <si>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</si>
  <si>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</si>
  <si>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</si>
  <si>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</si>
  <si>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</si>
  <si>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</si>
  <si>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</si>
  <si>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</si>
  <si>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</si>
  <si>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</si>
  <si>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</si>
  <si>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</si>
  <si>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</si>
  <si>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</si>
  <si>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</si>
  <si>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</si>
  <si>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</si>
  <si>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</si>
  <si>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</si>
  <si>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</si>
  <si>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</si>
  <si>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</si>
  <si>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</si>
  <si>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</si>
  <si>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</si>
  <si>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</si>
  <si>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</si>
  <si>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</si>
  <si>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</si>
  <si>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</si>
  <si>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</si>
  <si>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</si>
  <si>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</si>
  <si>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</si>
  <si>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</si>
  <si>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</si>
  <si>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</si>
  <si>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</si>
  <si>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</si>
  <si>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</si>
  <si>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</si>
  <si>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</si>
  <si>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</si>
  <si>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</si>
  <si>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</si>
  <si>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</si>
  <si>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</si>
  <si>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</si>
  <si>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</si>
  <si>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</si>
  <si>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</si>
  <si>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</si>
  <si>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</si>
  <si>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</si>
  <si>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</si>
  <si>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</si>
  <si>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</si>
  <si>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</si>
  <si>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</si>
  <si>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</si>
  <si>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</si>
  <si>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</si>
  <si>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</si>
  <si>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</si>
  <si>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</si>
  <si>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</si>
  <si>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</si>
  <si>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</si>
  <si>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</si>
  <si>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</si>
  <si>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</si>
  <si>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</si>
  <si>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</si>
  <si>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</si>
  <si>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</si>
  <si>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</si>
  <si>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</si>
  <si>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</si>
  <si>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</si>
  <si>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</si>
  <si>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</si>
  <si>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</si>
  <si>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</si>
  <si>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</si>
  <si>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</si>
  <si>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</si>
  <si>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</si>
  <si>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</si>
  <si>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</si>
  <si>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</si>
  <si>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</si>
  <si>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</si>
  <si>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</si>
  <si>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</si>
  <si>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</si>
  <si>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</si>
  <si>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</si>
  <si>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</si>
  <si>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</si>
  <si>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</si>
  <si>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</si>
  <si>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</si>
  <si>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</si>
  <si>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</si>
  <si>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</si>
  <si>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</si>
  <si>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</si>
  <si>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</si>
  <si>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</si>
  <si>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</si>
  <si>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</si>
  <si>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</si>
  <si>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</si>
  <si>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</si>
  <si>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</si>
  <si>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</si>
  <si>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</si>
  <si>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</si>
  <si>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</si>
  <si>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</si>
  <si>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</si>
  <si>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</si>
  <si>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</si>
  <si>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</si>
  <si>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</si>
  <si>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</si>
  <si>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</si>
  <si>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</si>
  <si>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</si>
  <si>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</si>
  <si>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</si>
  <si>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</si>
  <si>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</si>
  <si>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</si>
  <si>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</si>
  <si>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</si>
  <si>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</si>
  <si>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</si>
  <si>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</si>
  <si>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</si>
  <si>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</si>
  <si>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</si>
  <si>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</si>
  <si>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</si>
  <si>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</si>
  <si>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</si>
  <si>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</si>
  <si>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</si>
  <si>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</si>
  <si>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</si>
  <si>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</si>
  <si>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</si>
  <si>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</si>
  <si>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</si>
  <si>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</si>
  <si>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</si>
  <si>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</si>
  <si>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</si>
  <si>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</si>
  <si>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</si>
  <si>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</si>
  <si>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</si>
  <si>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</si>
  <si>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</si>
  <si>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</si>
  <si>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</si>
  <si>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</si>
  <si>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</si>
  <si>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</si>
  <si>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</si>
  <si>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</si>
  <si>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</si>
  <si>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</si>
  <si>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</si>
  <si>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</si>
  <si>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</si>
  <si>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</si>
  <si>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</si>
  <si>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</si>
  <si>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</si>
  <si>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</si>
  <si>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</si>
  <si>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</si>
  <si>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</si>
  <si>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</si>
  <si>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</si>
  <si>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</si>
  <si>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</si>
  <si>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</si>
  <si>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</si>
  <si>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</si>
  <si>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</si>
  <si>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</si>
  <si>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</si>
  <si>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</si>
  <si>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</si>
  <si>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</si>
  <si>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</si>
  <si>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</si>
  <si>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</si>
  <si>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</si>
  <si>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</si>
  <si>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</si>
  <si>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</si>
  <si>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</si>
  <si>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</si>
  <si>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</si>
  <si>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</si>
  <si>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</si>
  <si>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</si>
  <si>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</si>
  <si>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</si>
  <si>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</si>
  <si>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</si>
  <si>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</si>
  <si>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</si>
  <si>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</si>
  <si>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</si>
  <si>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</si>
  <si>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</si>
  <si>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</si>
  <si>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</si>
  <si>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</si>
  <si>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</si>
  <si>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</si>
  <si>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</si>
  <si>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</si>
  <si>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</si>
  <si>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</si>
  <si>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</si>
  <si>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</si>
  <si>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</si>
  <si>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</si>
  <si>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</si>
  <si>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</si>
  <si>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</si>
  <si>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</si>
  <si>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</si>
  <si>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</si>
  <si>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</si>
  <si>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</si>
  <si>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</si>
  <si>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</si>
  <si>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</si>
  <si>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</si>
  <si>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</si>
  <si>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</si>
  <si>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</si>
  <si>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</si>
  <si>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</si>
  <si>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</si>
  <si>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</si>
  <si>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</si>
  <si>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</si>
  <si>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</si>
  <si>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</si>
  <si>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</si>
  <si>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</si>
  <si>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</si>
  <si>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</si>
  <si>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</si>
  <si>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</si>
  <si>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</si>
  <si>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</si>
  <si>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</si>
  <si>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</si>
  <si>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</si>
  <si>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</si>
  <si>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</si>
  <si>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</si>
  <si>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</si>
  <si>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</si>
  <si>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</si>
  <si>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</si>
  <si>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</si>
  <si>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</si>
  <si>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</si>
  <si>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</si>
  <si>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</si>
  <si>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</si>
  <si>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</si>
  <si>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</si>
  <si>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</si>
  <si>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</si>
  <si>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</si>
  <si>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</si>
  <si>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</si>
  <si>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</si>
  <si>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</si>
  <si>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</si>
  <si>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</si>
  <si>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</si>
  <si>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</si>
  <si>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</si>
  <si>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</si>
  <si>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</si>
  <si>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</si>
  <si>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</si>
  <si>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</si>
  <si>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</si>
  <si>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</si>
  <si>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</si>
  <si>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</si>
  <si>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</si>
  <si>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</si>
  <si>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</si>
  <si>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</si>
  <si>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</si>
  <si>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</si>
  <si>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</si>
  <si>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</si>
  <si>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</si>
  <si>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</si>
  <si>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</si>
  <si>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</si>
  <si>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</si>
  <si>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</si>
  <si>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</si>
  <si>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</si>
  <si>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</si>
  <si>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</si>
  <si>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</si>
  <si>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</si>
  <si>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</si>
  <si>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</si>
  <si>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</si>
  <si>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</si>
  <si>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</si>
  <si>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</si>
  <si>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</si>
  <si>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</si>
  <si>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</si>
  <si>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</si>
  <si>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</si>
  <si>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</si>
  <si>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</si>
  <si>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</si>
  <si>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</si>
  <si>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</si>
  <si>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</si>
  <si>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</si>
  <si>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</si>
  <si>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</si>
  <si>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</si>
  <si>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</si>
  <si>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</si>
  <si>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</si>
  <si>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</si>
  <si>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</si>
  <si>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</si>
  <si>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</si>
  <si>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</si>
  <si>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</si>
  <si>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</si>
  <si>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</si>
  <si>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</si>
  <si>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</si>
  <si>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</si>
  <si>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</si>
  <si>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</si>
  <si>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</si>
  <si>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</si>
  <si>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</si>
  <si>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</si>
  <si>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</si>
  <si>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</si>
  <si>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</si>
  <si>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</si>
  <si>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</si>
  <si>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</si>
  <si>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</si>
  <si>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</si>
  <si>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</si>
  <si>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</si>
  <si>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</si>
  <si>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</si>
  <si>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</si>
  <si>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</si>
  <si>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</si>
  <si>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</si>
  <si>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</si>
  <si>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</si>
  <si>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</si>
  <si>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</si>
  <si>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</si>
  <si>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</si>
  <si>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</si>
  <si>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</si>
  <si>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</si>
  <si>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</si>
  <si>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</si>
  <si>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</si>
  <si>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</si>
  <si>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</si>
  <si>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</si>
  <si>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</si>
  <si>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</si>
  <si>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</si>
  <si>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</si>
  <si>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</si>
  <si>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</si>
  <si>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</si>
  <si>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</si>
  <si>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</si>
  <si>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</si>
  <si>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</si>
  <si>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</si>
  <si>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</si>
  <si>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</si>
  <si>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</si>
  <si>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</si>
  <si>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</si>
  <si>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</si>
  <si>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</si>
  <si>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</si>
  <si>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</si>
  <si>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</si>
  <si>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</si>
  <si>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</si>
  <si>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</si>
  <si>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</si>
  <si>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</si>
  <si>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</si>
  <si>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</si>
  <si>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</si>
  <si>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</si>
  <si>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</si>
  <si>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</si>
  <si>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</si>
  <si>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</si>
  <si>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</si>
  <si>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</si>
  <si>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</si>
  <si>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</si>
  <si>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</si>
  <si>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</si>
  <si>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</si>
  <si>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</si>
  <si>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</si>
  <si>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</si>
  <si>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</si>
  <si>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</si>
  <si>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</si>
  <si>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</si>
  <si>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</si>
  <si>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</si>
  <si>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</si>
  <si>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</si>
  <si>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</si>
  <si>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</si>
  <si>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</si>
  <si>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</si>
  <si>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</si>
  <si>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</si>
  <si>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</si>
  <si>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</si>
  <si>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</si>
  <si>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</si>
  <si>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</si>
  <si>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</si>
  <si>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</si>
  <si>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</si>
  <si>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</si>
  <si>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</si>
  <si>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</si>
  <si>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</si>
  <si>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</si>
  <si>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</si>
  <si>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</si>
  <si>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</si>
  <si>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</si>
  <si>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</si>
  <si>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</si>
  <si>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</si>
  <si>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</si>
  <si>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</si>
  <si>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</si>
  <si>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</si>
  <si>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</si>
  <si>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</si>
  <si>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</si>
  <si>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</si>
  <si>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</si>
  <si>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</si>
  <si>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</si>
  <si>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</si>
  <si>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</si>
  <si>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</si>
  <si>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</si>
  <si>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</si>
  <si>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</si>
  <si>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</si>
  <si>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</si>
  <si>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</si>
  <si>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</si>
  <si>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</si>
  <si>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</si>
  <si>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</si>
  <si>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</si>
  <si>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</si>
  <si>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</si>
  <si>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</si>
  <si>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</si>
  <si>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</si>
  <si>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</si>
  <si>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</si>
  <si>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</si>
  <si>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</si>
  <si>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</si>
  <si>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</si>
  <si>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</si>
  <si>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</si>
  <si>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</si>
  <si>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</si>
  <si>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</si>
  <si>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</si>
  <si>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</si>
  <si>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</si>
  <si>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</si>
  <si>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</si>
  <si>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</si>
  <si>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</si>
  <si>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</si>
  <si>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</si>
  <si>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</si>
  <si>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</si>
  <si>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</si>
  <si>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</si>
  <si>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</si>
  <si>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</si>
  <si>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</si>
  <si>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</si>
  <si>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</si>
  <si>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</si>
  <si>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</si>
  <si>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</si>
  <si>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</si>
  <si>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</si>
  <si>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</si>
  <si>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</si>
  <si>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</si>
  <si>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</si>
  <si>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</si>
  <si>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</si>
  <si>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</si>
  <si>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</si>
  <si>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</si>
  <si>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</si>
  <si>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</si>
  <si>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</si>
  <si>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</si>
  <si>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</si>
  <si>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</si>
  <si>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</si>
  <si>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</si>
  <si>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</si>
  <si>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</si>
  <si>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</si>
  <si>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</si>
  <si>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</si>
  <si>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</si>
  <si>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</si>
  <si>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</si>
  <si>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</si>
  <si>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</si>
  <si>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</si>
  <si>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</si>
  <si>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</si>
  <si>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</si>
  <si>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</si>
  <si>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</si>
  <si>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</si>
  <si>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</si>
  <si>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</si>
  <si>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</si>
  <si>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</si>
  <si>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</si>
  <si>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</si>
  <si>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</si>
  <si>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</si>
  <si>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</si>
  <si>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</si>
  <si>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</si>
  <si>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</si>
  <si>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</si>
  <si>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</si>
  <si>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</si>
  <si>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</si>
  <si>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</si>
  <si>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</si>
  <si>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</si>
  <si>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</si>
  <si>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</si>
  <si>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</si>
  <si>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</si>
  <si>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</si>
  <si>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</si>
  <si>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</si>
  <si>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</si>
  <si>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</si>
  <si>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</si>
  <si>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</si>
  <si>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</si>
  <si>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</si>
  <si>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</si>
  <si>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</si>
  <si>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</si>
  <si>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</si>
  <si>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</si>
  <si>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</si>
  <si>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</si>
  <si>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</si>
  <si>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</si>
  <si>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</si>
  <si>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</si>
  <si>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</si>
  <si>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</si>
  <si>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</si>
  <si>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</si>
  <si>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</si>
  <si>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</si>
  <si>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</si>
  <si>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</si>
  <si>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</si>
  <si>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</si>
  <si>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</si>
  <si>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</si>
  <si>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</si>
  <si>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</si>
  <si>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</si>
  <si>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</si>
  <si>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</si>
  <si>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</si>
  <si>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</si>
  <si>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</si>
  <si>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</si>
  <si>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</si>
  <si>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</si>
  <si>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</si>
  <si>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</si>
  <si>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</si>
  <si>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</si>
  <si>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</si>
  <si>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</si>
  <si>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</si>
  <si>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</si>
  <si>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</si>
  <si>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</si>
  <si>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</si>
  <si>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</si>
  <si>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</si>
  <si>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</si>
  <si>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</si>
  <si>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</si>
  <si>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</si>
  <si>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</si>
  <si>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</si>
  <si>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</si>
  <si>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</si>
  <si>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</si>
  <si>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</si>
  <si>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</si>
  <si>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</si>
  <si>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</si>
  <si>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</si>
  <si>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</si>
  <si>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</si>
  <si>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</si>
  <si>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</si>
  <si>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</si>
  <si>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</si>
  <si>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</si>
  <si>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</si>
  <si>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</si>
  <si>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</si>
  <si>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</si>
  <si>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</si>
  <si>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</si>
  <si>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</si>
  <si>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</si>
  <si>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</si>
  <si>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</si>
  <si>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</si>
  <si>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</si>
  <si>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</si>
  <si>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</si>
  <si>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</si>
  <si>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</si>
  <si>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</si>
  <si>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</si>
  <si>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</si>
  <si>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</si>
  <si>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</si>
  <si>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</si>
  <si>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</si>
  <si>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</si>
  <si>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</si>
  <si>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</si>
  <si>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</si>
  <si>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</si>
  <si>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</si>
  <si>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</si>
  <si>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</si>
  <si>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</si>
  <si>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</si>
  <si>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</si>
  <si>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</si>
  <si>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</si>
  <si>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</si>
  <si>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</si>
  <si>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</si>
  <si>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</si>
  <si>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</si>
  <si>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</si>
  <si>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</si>
  <si>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</si>
  <si>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</si>
  <si>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</si>
  <si>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</si>
  <si>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</si>
  <si>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</si>
  <si>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</si>
  <si>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</si>
  <si>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</si>
  <si>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</si>
  <si>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</si>
  <si>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</si>
  <si>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</si>
  <si>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</si>
  <si>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</si>
  <si>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</si>
  <si>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</si>
  <si>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</si>
  <si>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</si>
  <si>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</si>
  <si>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</si>
  <si>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</si>
  <si>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</si>
  <si>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</si>
  <si>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</si>
  <si>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</si>
  <si>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</si>
  <si>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</si>
  <si>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</si>
  <si>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</si>
  <si>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</si>
  <si>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</si>
  <si>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</si>
  <si>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</si>
  <si>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</si>
  <si>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</si>
  <si>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</si>
  <si>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</si>
  <si>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HAMPTON FALLS</t>
  </si>
  <si>
    <t>08/04</t>
  </si>
  <si>
    <t>08/24</t>
  </si>
  <si>
    <t>LGC Refund - 65,816.51</t>
  </si>
  <si>
    <t>Worker's Comp Premium Holiday - 9763.00</t>
  </si>
  <si>
    <t>Sale of Property - 155,000.00 - move to page 3 line 17</t>
  </si>
  <si>
    <t>Impac Fees - 28,412.00 - page 2 line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</si>
</sst>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32" activePane="bottomRight" state="frozen"/>
      <selection pane="topRight" activeCell="F1" sqref="F1"/>
      <selection pane="bottomLeft" activeCell="A4" sqref="A4"/>
      <selection pane="bottomRight" activeCell="F57" sqref="F5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227</v>
      </c>
      <c r="C2" s="21">
        <v>227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181582.67+228.98</f>
        <v>181811.65000000002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52687.08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11430.46</v>
      </c>
      <c r="G12" s="18">
        <v>1108.73</v>
      </c>
      <c r="H12" s="18">
        <v>12539.19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3931.76</v>
      </c>
      <c r="G13" s="18">
        <v>1696.95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158532.43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2600.63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3126.5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358832.80000000005</v>
      </c>
      <c r="G19" s="41">
        <f>SUM(G9:G18)</f>
        <v>5406.31</v>
      </c>
      <c r="H19" s="41">
        <f>SUM(H9:H18)</f>
        <v>12539.19</v>
      </c>
      <c r="I19" s="41">
        <f>SUM(I9:I18)</f>
        <v>0</v>
      </c>
      <c r="J19" s="41">
        <f>SUM(J9:J18)</f>
        <v>52687.08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12539.19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35909.26</v>
      </c>
      <c r="G24" s="18">
        <v>53.86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963.2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73.68+18951.12+2745.28+91.02</f>
        <v>21861.1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2696.39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58733.56</v>
      </c>
      <c r="G32" s="41">
        <f>SUM(G22:G31)</f>
        <v>2750.25</v>
      </c>
      <c r="H32" s="41">
        <f>SUM(H22:H31)</f>
        <v>12539.19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2600.63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3126.5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20416.77</v>
      </c>
      <c r="G48" s="18">
        <v>55.43</v>
      </c>
      <c r="H48" s="18"/>
      <c r="I48" s="18"/>
      <c r="J48" s="13">
        <f>SUM(I459)</f>
        <v>52687.08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31547.63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195008.34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300099.24</v>
      </c>
      <c r="G51" s="41">
        <f>SUM(G35:G50)</f>
        <v>2656.06</v>
      </c>
      <c r="H51" s="41">
        <f>SUM(H35:H50)</f>
        <v>0</v>
      </c>
      <c r="I51" s="41">
        <f>SUM(I35:I50)</f>
        <v>0</v>
      </c>
      <c r="J51" s="41">
        <f>SUM(J35:J50)</f>
        <v>52687.08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358832.8</v>
      </c>
      <c r="G52" s="41">
        <f>G51+G32</f>
        <v>5406.3099999999995</v>
      </c>
      <c r="H52" s="41">
        <f>H51+H32</f>
        <v>12539.19</v>
      </c>
      <c r="I52" s="41">
        <f>I51+I32</f>
        <v>0</v>
      </c>
      <c r="J52" s="41">
        <f>J51+J32</f>
        <v>52687.08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3995077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28412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4023489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63.28</v>
      </c>
      <c r="G96" s="18"/>
      <c r="H96" s="18"/>
      <c r="I96" s="18"/>
      <c r="J96" s="18">
        <f>1914.23+57.98</f>
        <v>1972.21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81402.63+1005.58</f>
        <v>82408.210000000006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155000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47971.32+65816.51+155000-28412-155000</f>
        <v>85375.829999999958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240939.10999999996</v>
      </c>
      <c r="G111" s="41">
        <f>SUM(G96:G110)</f>
        <v>82408.210000000006</v>
      </c>
      <c r="H111" s="41">
        <f>SUM(H96:H110)</f>
        <v>0</v>
      </c>
      <c r="I111" s="41">
        <f>SUM(I96:I110)</f>
        <v>0</v>
      </c>
      <c r="J111" s="41">
        <f>SUM(J96:J110)</f>
        <v>1972.21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4264428.1100000003</v>
      </c>
      <c r="G112" s="41">
        <f>G60+G111</f>
        <v>82408.210000000006</v>
      </c>
      <c r="H112" s="41">
        <f>H60+H79+H94+H111</f>
        <v>0</v>
      </c>
      <c r="I112" s="41">
        <f>I60+I111</f>
        <v>0</v>
      </c>
      <c r="J112" s="41">
        <f>J60+J111</f>
        <v>1972.21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114258.77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726832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841090.77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1404.96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1404.96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841090.77</v>
      </c>
      <c r="G140" s="41">
        <f>G121+SUM(G136:G137)</f>
        <v>1404.96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307.9+11304.17</f>
        <v>11612.07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3448.49+5347.7+3360.42</f>
        <v>12156.609999999999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20885.62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36838.5+1537.53</f>
        <v>38376.03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25714.7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25714.7</v>
      </c>
      <c r="G162" s="41">
        <f>SUM(G150:G161)</f>
        <v>20885.62</v>
      </c>
      <c r="H162" s="41">
        <f>SUM(H150:H161)</f>
        <v>62144.71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5730.29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25714.7</v>
      </c>
      <c r="G169" s="41">
        <f>G147+G162+SUM(G163:G168)</f>
        <v>26615.91</v>
      </c>
      <c r="H169" s="41">
        <f>H147+H162+SUM(H163:H168)</f>
        <v>62144.71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8600</v>
      </c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8600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8600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5131233.580000001</v>
      </c>
      <c r="G193" s="47">
        <f>G112+G140+G169+G192</f>
        <v>119029.08000000002</v>
      </c>
      <c r="H193" s="47">
        <f>H112+H140+H169+H192</f>
        <v>62144.71</v>
      </c>
      <c r="I193" s="47">
        <f>I112+I140+I169+I192</f>
        <v>0</v>
      </c>
      <c r="J193" s="47">
        <f>J112+J140+J192</f>
        <v>26972.21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1522512.83</v>
      </c>
      <c r="G197" s="18">
        <v>701753.71</v>
      </c>
      <c r="H197" s="18">
        <v>12022.36</v>
      </c>
      <c r="I197" s="18">
        <v>41650.92</v>
      </c>
      <c r="J197" s="18">
        <v>4956</v>
      </c>
      <c r="K197" s="18"/>
      <c r="L197" s="19">
        <f>SUM(F197:K197)</f>
        <v>2282895.8199999998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663982.56999999995</v>
      </c>
      <c r="G198" s="18">
        <v>271380.36</v>
      </c>
      <c r="H198" s="18">
        <v>226076.99</v>
      </c>
      <c r="I198" s="18"/>
      <c r="J198" s="18">
        <v>987.23</v>
      </c>
      <c r="K198" s="18">
        <v>864.5</v>
      </c>
      <c r="L198" s="19">
        <f>SUM(F198:K198)</f>
        <v>1163291.6499999999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31725</v>
      </c>
      <c r="G200" s="18">
        <v>2569.73</v>
      </c>
      <c r="H200" s="18">
        <v>8696.1</v>
      </c>
      <c r="I200" s="18">
        <v>3076.46</v>
      </c>
      <c r="J200" s="18">
        <v>4895.83</v>
      </c>
      <c r="K200" s="18"/>
      <c r="L200" s="19">
        <f>SUM(F200:K200)</f>
        <v>50963.12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35009.96+58994</f>
        <v>94003.959999999992</v>
      </c>
      <c r="G202" s="18">
        <v>40859.699999999997</v>
      </c>
      <c r="H202" s="18">
        <v>60</v>
      </c>
      <c r="I202" s="18">
        <v>1337.62</v>
      </c>
      <c r="J202" s="18">
        <v>185.28</v>
      </c>
      <c r="K202" s="18">
        <v>150</v>
      </c>
      <c r="L202" s="19">
        <f t="shared" ref="L202:L208" si="0">SUM(F202:K202)</f>
        <v>136596.55999999997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10725+57525.89+68339.84</f>
        <v>136590.72999999998</v>
      </c>
      <c r="G203" s="18">
        <f>3461+64702.69</f>
        <v>68163.69</v>
      </c>
      <c r="H203" s="18">
        <f>9362.2+2283.82</f>
        <v>11646.02</v>
      </c>
      <c r="I203" s="18">
        <f>700.13+9586.47+20509.04</f>
        <v>30795.64</v>
      </c>
      <c r="J203" s="18">
        <v>11719.11</v>
      </c>
      <c r="K203" s="18"/>
      <c r="L203" s="19">
        <f t="shared" si="0"/>
        <v>258915.18999999994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17343</v>
      </c>
      <c r="G204" s="18">
        <v>1326.74</v>
      </c>
      <c r="H204" s="18">
        <f>26820.12+98373</f>
        <v>125193.12</v>
      </c>
      <c r="I204" s="18"/>
      <c r="J204" s="18"/>
      <c r="K204" s="18">
        <v>5988.88</v>
      </c>
      <c r="L204" s="19">
        <f t="shared" si="0"/>
        <v>149851.74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137151.87</v>
      </c>
      <c r="G205" s="18">
        <v>59937.74</v>
      </c>
      <c r="H205" s="18">
        <v>4039.29</v>
      </c>
      <c r="I205" s="18">
        <v>1787.76</v>
      </c>
      <c r="J205" s="18"/>
      <c r="K205" s="18">
        <v>333.5</v>
      </c>
      <c r="L205" s="19">
        <f t="shared" si="0"/>
        <v>203250.16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140911.79</v>
      </c>
      <c r="G207" s="18">
        <v>60110.07</v>
      </c>
      <c r="H207" s="18">
        <f>55915.55+32279</f>
        <v>88194.55</v>
      </c>
      <c r="I207" s="18">
        <v>98555.97</v>
      </c>
      <c r="J207" s="18">
        <v>129722.42</v>
      </c>
      <c r="K207" s="18">
        <v>345</v>
      </c>
      <c r="L207" s="19">
        <f t="shared" si="0"/>
        <v>517839.8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181766.67+4123.2+5323.19+3066.09+7571.45</f>
        <v>201850.60000000003</v>
      </c>
      <c r="I208" s="18"/>
      <c r="J208" s="18"/>
      <c r="K208" s="18"/>
      <c r="L208" s="19">
        <f t="shared" si="0"/>
        <v>201850.60000000003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v>599</v>
      </c>
      <c r="L209" s="19">
        <f>SUM(F209:K209)</f>
        <v>599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2744221.75</v>
      </c>
      <c r="G211" s="41">
        <f t="shared" si="1"/>
        <v>1206101.74</v>
      </c>
      <c r="H211" s="41">
        <f t="shared" si="1"/>
        <v>677779.03</v>
      </c>
      <c r="I211" s="41">
        <f t="shared" si="1"/>
        <v>177204.37</v>
      </c>
      <c r="J211" s="41">
        <f t="shared" si="1"/>
        <v>152465.87</v>
      </c>
      <c r="K211" s="41">
        <f t="shared" si="1"/>
        <v>8280.880000000001</v>
      </c>
      <c r="L211" s="41">
        <f t="shared" si="1"/>
        <v>4966053.6399999997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19087.29+11543</f>
        <v>30630.29</v>
      </c>
      <c r="I255" s="18"/>
      <c r="J255" s="18"/>
      <c r="K255" s="18"/>
      <c r="L255" s="19">
        <f t="shared" si="6"/>
        <v>30630.29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30630.29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30630.29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2744221.75</v>
      </c>
      <c r="G257" s="41">
        <f t="shared" si="8"/>
        <v>1206101.74</v>
      </c>
      <c r="H257" s="41">
        <f t="shared" si="8"/>
        <v>708409.32000000007</v>
      </c>
      <c r="I257" s="41">
        <f t="shared" si="8"/>
        <v>177204.37</v>
      </c>
      <c r="J257" s="41">
        <f t="shared" si="8"/>
        <v>152465.87</v>
      </c>
      <c r="K257" s="41">
        <f t="shared" si="8"/>
        <v>8280.880000000001</v>
      </c>
      <c r="L257" s="41">
        <f t="shared" si="8"/>
        <v>4996683.93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50000</v>
      </c>
      <c r="L260" s="19">
        <f>SUM(F260:K260)</f>
        <v>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39021.5</v>
      </c>
      <c r="L261" s="19">
        <f>SUM(F261:K261)</f>
        <v>39021.5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8600</v>
      </c>
      <c r="L263" s="19">
        <f>SUM(F263:K263)</f>
        <v>8600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122621.5</v>
      </c>
      <c r="L270" s="41">
        <f t="shared" si="9"/>
        <v>122621.5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2744221.75</v>
      </c>
      <c r="G271" s="42">
        <f t="shared" si="11"/>
        <v>1206101.74</v>
      </c>
      <c r="H271" s="42">
        <f t="shared" si="11"/>
        <v>708409.32000000007</v>
      </c>
      <c r="I271" s="42">
        <f t="shared" si="11"/>
        <v>177204.37</v>
      </c>
      <c r="J271" s="42">
        <f t="shared" si="11"/>
        <v>152465.87</v>
      </c>
      <c r="K271" s="42">
        <f t="shared" si="11"/>
        <v>130902.38</v>
      </c>
      <c r="L271" s="42">
        <f t="shared" si="11"/>
        <v>5119305.43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250+712.5+9370</f>
        <v>10332.5</v>
      </c>
      <c r="G276" s="18">
        <f>54.53+942.92</f>
        <v>997.44999999999993</v>
      </c>
      <c r="H276" s="18">
        <v>3407.6</v>
      </c>
      <c r="I276" s="18">
        <v>46.25</v>
      </c>
      <c r="J276" s="18">
        <v>8228</v>
      </c>
      <c r="K276" s="18"/>
      <c r="L276" s="19">
        <f>SUM(F276:K276)</f>
        <v>23011.800000000003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15986.88</v>
      </c>
      <c r="G277" s="18">
        <v>1352.28</v>
      </c>
      <c r="H277" s="18">
        <v>19985.45</v>
      </c>
      <c r="I277" s="18">
        <v>262.11</v>
      </c>
      <c r="J277" s="18"/>
      <c r="K277" s="18"/>
      <c r="L277" s="19">
        <f>SUM(F277:K277)</f>
        <v>37586.720000000001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363.31</v>
      </c>
      <c r="I282" s="18"/>
      <c r="J282" s="18"/>
      <c r="K282" s="18"/>
      <c r="L282" s="19">
        <f t="shared" si="12"/>
        <v>363.31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1182.8800000000001</v>
      </c>
      <c r="L283" s="19">
        <f t="shared" si="12"/>
        <v>1182.8800000000001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26319.379999999997</v>
      </c>
      <c r="G290" s="42">
        <f t="shared" si="13"/>
        <v>2349.73</v>
      </c>
      <c r="H290" s="42">
        <f t="shared" si="13"/>
        <v>23756.36</v>
      </c>
      <c r="I290" s="42">
        <f t="shared" si="13"/>
        <v>308.36</v>
      </c>
      <c r="J290" s="42">
        <f t="shared" si="13"/>
        <v>8228</v>
      </c>
      <c r="K290" s="42">
        <f t="shared" si="13"/>
        <v>1182.8800000000001</v>
      </c>
      <c r="L290" s="41">
        <f t="shared" si="13"/>
        <v>62144.71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26319.379999999997</v>
      </c>
      <c r="G338" s="41">
        <f t="shared" si="20"/>
        <v>2349.73</v>
      </c>
      <c r="H338" s="41">
        <f t="shared" si="20"/>
        <v>23756.36</v>
      </c>
      <c r="I338" s="41">
        <f t="shared" si="20"/>
        <v>308.36</v>
      </c>
      <c r="J338" s="41">
        <f t="shared" si="20"/>
        <v>8228</v>
      </c>
      <c r="K338" s="41">
        <f t="shared" si="20"/>
        <v>1182.8800000000001</v>
      </c>
      <c r="L338" s="41">
        <f t="shared" si="20"/>
        <v>62144.71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26319.379999999997</v>
      </c>
      <c r="G352" s="41">
        <f>G338</f>
        <v>2349.73</v>
      </c>
      <c r="H352" s="41">
        <f>H338</f>
        <v>23756.36</v>
      </c>
      <c r="I352" s="41">
        <f>I338</f>
        <v>308.36</v>
      </c>
      <c r="J352" s="41">
        <f>J338</f>
        <v>8228</v>
      </c>
      <c r="K352" s="47">
        <f>K338+K351</f>
        <v>1182.8800000000001</v>
      </c>
      <c r="L352" s="41">
        <f>L338+L351</f>
        <v>62144.71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35200.1+29635.18+667.89</f>
        <v>65503.17</v>
      </c>
      <c r="G358" s="18"/>
      <c r="H358" s="18">
        <v>1689.99</v>
      </c>
      <c r="I358" s="18">
        <f>3059.96+40943.8+5730.29-2600.63</f>
        <v>47133.420000000006</v>
      </c>
      <c r="J358" s="18">
        <v>1485.58</v>
      </c>
      <c r="K358" s="18">
        <v>765.25</v>
      </c>
      <c r="L358" s="13">
        <f>SUM(F358:K358)</f>
        <v>116577.41000000002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65503.17</v>
      </c>
      <c r="G362" s="47">
        <f t="shared" si="22"/>
        <v>0</v>
      </c>
      <c r="H362" s="47">
        <f t="shared" si="22"/>
        <v>1689.99</v>
      </c>
      <c r="I362" s="47">
        <f t="shared" si="22"/>
        <v>47133.420000000006</v>
      </c>
      <c r="J362" s="47">
        <f t="shared" si="22"/>
        <v>1485.58</v>
      </c>
      <c r="K362" s="47">
        <f t="shared" si="22"/>
        <v>765.25</v>
      </c>
      <c r="L362" s="47">
        <f t="shared" si="22"/>
        <v>116577.41000000002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40943.8+5730.29-2600.63</f>
        <v>44073.460000000006</v>
      </c>
      <c r="G367" s="18"/>
      <c r="H367" s="18"/>
      <c r="I367" s="56">
        <f>SUM(F367:H367)</f>
        <v>44073.460000000006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3059.96</v>
      </c>
      <c r="G368" s="63"/>
      <c r="H368" s="63"/>
      <c r="I368" s="56">
        <f>SUM(F368:H368)</f>
        <v>3059.96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47133.420000000006</v>
      </c>
      <c r="G369" s="47">
        <f>SUM(G367:G368)</f>
        <v>0</v>
      </c>
      <c r="H369" s="47">
        <f>SUM(H367:H368)</f>
        <v>0</v>
      </c>
      <c r="I369" s="47">
        <f>SUM(I367:I368)</f>
        <v>47133.420000000006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1914.23</v>
      </c>
      <c r="I397" s="18"/>
      <c r="J397" s="24" t="s">
        <v>289</v>
      </c>
      <c r="K397" s="24" t="s">
        <v>289</v>
      </c>
      <c r="L397" s="56">
        <f t="shared" si="26"/>
        <v>26914.23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57.98</v>
      </c>
      <c r="I399" s="18"/>
      <c r="J399" s="24" t="s">
        <v>289</v>
      </c>
      <c r="K399" s="24" t="s">
        <v>289</v>
      </c>
      <c r="L399" s="56">
        <f t="shared" si="26"/>
        <v>57.98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1972.21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26972.21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1972.21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26972.21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52687.08</v>
      </c>
      <c r="H440" s="18"/>
      <c r="I440" s="56">
        <f t="shared" si="33"/>
        <v>52687.08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52687.08</v>
      </c>
      <c r="H446" s="13">
        <f>SUM(H439:H445)</f>
        <v>0</v>
      </c>
      <c r="I446" s="13">
        <f>SUM(I439:I445)</f>
        <v>52687.08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52687.08</v>
      </c>
      <c r="H459" s="18"/>
      <c r="I459" s="56">
        <f t="shared" si="34"/>
        <v>52687.08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52687.08</v>
      </c>
      <c r="H460" s="83">
        <f>SUM(H454:H459)</f>
        <v>0</v>
      </c>
      <c r="I460" s="83">
        <f>SUM(I454:I459)</f>
        <v>52687.08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52687.08</v>
      </c>
      <c r="H461" s="42">
        <f>H452+H460</f>
        <v>0</v>
      </c>
      <c r="I461" s="42">
        <f>I452+I460</f>
        <v>52687.08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288171.09000000003</v>
      </c>
      <c r="G465" s="18">
        <v>204.39</v>
      </c>
      <c r="H465" s="18">
        <v>0</v>
      </c>
      <c r="I465" s="18">
        <v>0</v>
      </c>
      <c r="J465" s="18">
        <v>25714.87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5131233.58</v>
      </c>
      <c r="G468" s="18">
        <v>119029.08</v>
      </c>
      <c r="H468" s="18">
        <v>62144.71</v>
      </c>
      <c r="I468" s="18"/>
      <c r="J468" s="18">
        <v>26972.21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5131233.58</v>
      </c>
      <c r="G470" s="53">
        <f>SUM(G468:G469)</f>
        <v>119029.08</v>
      </c>
      <c r="H470" s="53">
        <f>SUM(H468:H469)</f>
        <v>62144.71</v>
      </c>
      <c r="I470" s="53">
        <f>SUM(I468:I469)</f>
        <v>0</v>
      </c>
      <c r="J470" s="53">
        <f>SUM(J468:J469)</f>
        <v>26972.21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5119305.43</v>
      </c>
      <c r="G472" s="18">
        <v>116577.41</v>
      </c>
      <c r="H472" s="18">
        <v>62144.71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5119305.43</v>
      </c>
      <c r="G474" s="53">
        <f>SUM(G472:G473)</f>
        <v>116577.41</v>
      </c>
      <c r="H474" s="53">
        <f>SUM(H472:H473)</f>
        <v>62144.71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300099.24000000022</v>
      </c>
      <c r="G476" s="53">
        <f>(G465+G470)- G474</f>
        <v>2656.0599999999977</v>
      </c>
      <c r="H476" s="53">
        <f>(H465+H470)- H474</f>
        <v>0</v>
      </c>
      <c r="I476" s="53">
        <f>(I465+I470)- I474</f>
        <v>0</v>
      </c>
      <c r="J476" s="53">
        <f>(J465+J470)- J474</f>
        <v>52687.08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1468000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835000</v>
      </c>
      <c r="G495" s="18"/>
      <c r="H495" s="18"/>
      <c r="I495" s="18"/>
      <c r="J495" s="18"/>
      <c r="K495" s="53">
        <f>SUM(F495:J495)</f>
        <v>835000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89021.5</v>
      </c>
      <c r="G497" s="18"/>
      <c r="H497" s="18"/>
      <c r="I497" s="18"/>
      <c r="J497" s="18"/>
      <c r="K497" s="53">
        <f t="shared" si="35"/>
        <v>89021.5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785000</v>
      </c>
      <c r="G498" s="204"/>
      <c r="H498" s="204"/>
      <c r="I498" s="204"/>
      <c r="J498" s="204"/>
      <c r="K498" s="205">
        <f t="shared" si="35"/>
        <v>785000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211718.75</v>
      </c>
      <c r="G499" s="18"/>
      <c r="H499" s="18"/>
      <c r="I499" s="18"/>
      <c r="J499" s="18"/>
      <c r="K499" s="53">
        <f t="shared" si="35"/>
        <v>211718.75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996718.75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996718.75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55000</v>
      </c>
      <c r="G501" s="204"/>
      <c r="H501" s="204"/>
      <c r="I501" s="204"/>
      <c r="J501" s="204"/>
      <c r="K501" s="205">
        <f t="shared" si="35"/>
        <v>55000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34396.5</v>
      </c>
      <c r="G502" s="18"/>
      <c r="H502" s="18"/>
      <c r="I502" s="18"/>
      <c r="J502" s="18"/>
      <c r="K502" s="53">
        <f t="shared" si="35"/>
        <v>34396.5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89396.5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89396.5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291556.28+179808.95+15986.88</f>
        <v>487352.11000000004</v>
      </c>
      <c r="G521" s="18">
        <f>107800.59+90768.06+1352.28</f>
        <v>199920.93</v>
      </c>
      <c r="H521" s="18">
        <f>226076.99+376.55+11306.16+1200+5762.19+96.75+1243.8</f>
        <v>246062.43999999997</v>
      </c>
      <c r="I521" s="18">
        <v>262.11</v>
      </c>
      <c r="J521" s="18">
        <v>987.23</v>
      </c>
      <c r="K521" s="18">
        <f>757.69+31.62</f>
        <v>789.31000000000006</v>
      </c>
      <c r="L521" s="88">
        <f>SUM(F521:K521)</f>
        <v>935374.13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487352.11000000004</v>
      </c>
      <c r="G524" s="108">
        <f t="shared" ref="G524:L524" si="36">SUM(G521:G523)</f>
        <v>199920.93</v>
      </c>
      <c r="H524" s="108">
        <f t="shared" si="36"/>
        <v>246062.43999999997</v>
      </c>
      <c r="I524" s="108">
        <f t="shared" si="36"/>
        <v>262.11</v>
      </c>
      <c r="J524" s="108">
        <f t="shared" si="36"/>
        <v>987.23</v>
      </c>
      <c r="K524" s="108">
        <f t="shared" si="36"/>
        <v>789.31000000000006</v>
      </c>
      <c r="L524" s="89">
        <f t="shared" si="36"/>
        <v>935374.13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77658.899999999994</v>
      </c>
      <c r="G526" s="18">
        <v>35438.1</v>
      </c>
      <c r="H526" s="18"/>
      <c r="I526" s="18"/>
      <c r="J526" s="18"/>
      <c r="K526" s="18"/>
      <c r="L526" s="88">
        <f>SUM(F526:K526)</f>
        <v>113097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77658.899999999994</v>
      </c>
      <c r="G529" s="89">
        <f t="shared" ref="G529:L529" si="37">SUM(G526:G528)</f>
        <v>35438.1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113097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92776.88+22181.56</f>
        <v>114958.44</v>
      </c>
      <c r="G531" s="18">
        <f>31554.91+5818.7</f>
        <v>37373.61</v>
      </c>
      <c r="H531" s="18"/>
      <c r="I531" s="18"/>
      <c r="J531" s="18"/>
      <c r="K531" s="18">
        <v>864.5</v>
      </c>
      <c r="L531" s="88">
        <f>SUM(F531:K531)</f>
        <v>153196.54999999999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114958.44</v>
      </c>
      <c r="G534" s="89">
        <f t="shared" ref="G534:L534" si="38">SUM(G531:G533)</f>
        <v>37373.61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864.5</v>
      </c>
      <c r="L534" s="89">
        <f t="shared" si="38"/>
        <v>153196.54999999999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0</v>
      </c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4123.2</v>
      </c>
      <c r="I541" s="18"/>
      <c r="J541" s="18"/>
      <c r="K541" s="18"/>
      <c r="L541" s="88">
        <f>SUM(F541:K541)</f>
        <v>4123.2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4123.2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4123.2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679969.45</v>
      </c>
      <c r="G545" s="89">
        <f t="shared" ref="G545:L545" si="41">G524+G529+G534+G539+G544</f>
        <v>272732.64</v>
      </c>
      <c r="H545" s="89">
        <f t="shared" si="41"/>
        <v>250185.63999999998</v>
      </c>
      <c r="I545" s="89">
        <f t="shared" si="41"/>
        <v>262.11</v>
      </c>
      <c r="J545" s="89">
        <f t="shared" si="41"/>
        <v>987.23</v>
      </c>
      <c r="K545" s="89">
        <f t="shared" si="41"/>
        <v>1653.81</v>
      </c>
      <c r="L545" s="89">
        <f t="shared" si="41"/>
        <v>1205790.8799999999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935374.13</v>
      </c>
      <c r="G549" s="87">
        <f>L526</f>
        <v>113097</v>
      </c>
      <c r="H549" s="87">
        <f>L531</f>
        <v>153196.54999999999</v>
      </c>
      <c r="I549" s="87">
        <f>L536</f>
        <v>0</v>
      </c>
      <c r="J549" s="87">
        <f>L541</f>
        <v>4123.2</v>
      </c>
      <c r="K549" s="87">
        <f>SUM(F549:J549)</f>
        <v>1205790.8799999999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935374.13</v>
      </c>
      <c r="G552" s="89">
        <f t="shared" si="42"/>
        <v>113097</v>
      </c>
      <c r="H552" s="89">
        <f t="shared" si="42"/>
        <v>153196.54999999999</v>
      </c>
      <c r="I552" s="89">
        <f t="shared" si="42"/>
        <v>0</v>
      </c>
      <c r="J552" s="89">
        <f t="shared" si="42"/>
        <v>4123.2</v>
      </c>
      <c r="K552" s="89">
        <f t="shared" si="42"/>
        <v>1205790.8799999999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17153.3</v>
      </c>
      <c r="G582" s="18"/>
      <c r="H582" s="18"/>
      <c r="I582" s="87">
        <f t="shared" si="47"/>
        <v>17153.3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181766.67</v>
      </c>
      <c r="I591" s="18"/>
      <c r="J591" s="18"/>
      <c r="K591" s="104">
        <f t="shared" ref="K591:K597" si="48">SUM(H591:J591)</f>
        <v>181766.67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4123.2</v>
      </c>
      <c r="I592" s="18"/>
      <c r="J592" s="18"/>
      <c r="K592" s="104">
        <f t="shared" si="48"/>
        <v>4123.2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5323.19</v>
      </c>
      <c r="I594" s="18"/>
      <c r="J594" s="18"/>
      <c r="K594" s="104">
        <f t="shared" si="48"/>
        <v>5323.19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3066.09</v>
      </c>
      <c r="I595" s="18"/>
      <c r="J595" s="18"/>
      <c r="K595" s="104">
        <f t="shared" si="48"/>
        <v>3066.09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7571.45</f>
        <v>7571.45</v>
      </c>
      <c r="I597" s="18"/>
      <c r="J597" s="18"/>
      <c r="K597" s="104">
        <f t="shared" si="48"/>
        <v>7571.45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201850.60000000003</v>
      </c>
      <c r="I598" s="108">
        <f>SUM(I591:I597)</f>
        <v>0</v>
      </c>
      <c r="J598" s="108">
        <f>SUM(J591:J597)</f>
        <v>0</v>
      </c>
      <c r="K598" s="108">
        <f>SUM(K591:K597)</f>
        <v>201850.60000000003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119613.55</v>
      </c>
      <c r="I603" s="18"/>
      <c r="J603" s="18"/>
      <c r="K603" s="104">
        <f>SUM(H603:J603)</f>
        <v>119613.55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4956+987.23+4895.83+185.28+11719.11+3671.36+6437.51+8228</f>
        <v>41080.32</v>
      </c>
      <c r="I604" s="18"/>
      <c r="J604" s="18"/>
      <c r="K604" s="104">
        <f>SUM(H604:J604)</f>
        <v>41080.32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160693.87</v>
      </c>
      <c r="I605" s="108">
        <f>SUM(I602:I604)</f>
        <v>0</v>
      </c>
      <c r="J605" s="108">
        <f>SUM(J602:J604)</f>
        <v>0</v>
      </c>
      <c r="K605" s="108">
        <f>SUM(K602:K604)</f>
        <v>160693.87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358832.80000000005</v>
      </c>
      <c r="H617" s="109">
        <f>SUM(F52)</f>
        <v>358832.8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5406.31</v>
      </c>
      <c r="H618" s="109">
        <f>SUM(G52)</f>
        <v>5406.3099999999995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12539.19</v>
      </c>
      <c r="H619" s="109">
        <f>SUM(H52)</f>
        <v>12539.19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52687.08</v>
      </c>
      <c r="H621" s="109">
        <f>SUM(J52)</f>
        <v>52687.08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300099.24</v>
      </c>
      <c r="H622" s="109">
        <f>F476</f>
        <v>300099.24000000022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2656.06</v>
      </c>
      <c r="H623" s="109">
        <f>G476</f>
        <v>2656.0599999999977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52687.08</v>
      </c>
      <c r="H626" s="109">
        <f>J476</f>
        <v>52687.08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5131233.580000001</v>
      </c>
      <c r="H627" s="104">
        <f>SUM(F468)</f>
        <v>5131233.58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119029.08000000002</v>
      </c>
      <c r="H628" s="104">
        <f>SUM(G468)</f>
        <v>119029.08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62144.71</v>
      </c>
      <c r="H629" s="104">
        <f>SUM(H468)</f>
        <v>62144.71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26972.21</v>
      </c>
      <c r="H631" s="104">
        <f>SUM(J468)</f>
        <v>26972.21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5119305.43</v>
      </c>
      <c r="H632" s="104">
        <f>SUM(F472)</f>
        <v>5119305.43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62144.71</v>
      </c>
      <c r="H633" s="104">
        <f>SUM(H472)</f>
        <v>62144.71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47133.420000000006</v>
      </c>
      <c r="H634" s="104">
        <f>I369</f>
        <v>47133.420000000006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116577.41000000002</v>
      </c>
      <c r="H635" s="104">
        <f>SUM(G472)</f>
        <v>116577.41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26972.21</v>
      </c>
      <c r="H637" s="164">
        <f>SUM(J468)</f>
        <v>26972.21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52687.08</v>
      </c>
      <c r="H640" s="104">
        <f>SUM(G461)</f>
        <v>52687.08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52687.08</v>
      </c>
      <c r="H642" s="104">
        <f>SUM(I461)</f>
        <v>52687.08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1972.21</v>
      </c>
      <c r="H644" s="104">
        <f>H408</f>
        <v>1972.21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26972.21</v>
      </c>
      <c r="H646" s="104">
        <f>L408</f>
        <v>26972.21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201850.60000000003</v>
      </c>
      <c r="H647" s="104">
        <f>L208+L226+L244</f>
        <v>201850.60000000003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160693.87</v>
      </c>
      <c r="H648" s="104">
        <f>(J257+J338)-(J255+J336)</f>
        <v>160693.87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201850.60000000003</v>
      </c>
      <c r="H649" s="104">
        <f>H598</f>
        <v>201850.60000000003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8600</v>
      </c>
      <c r="H652" s="104">
        <f>K263+K345</f>
        <v>8600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5144775.76</v>
      </c>
      <c r="G660" s="19">
        <f>(L229+L309+L359)</f>
        <v>0</v>
      </c>
      <c r="H660" s="19">
        <f>(L247+L328+L360)</f>
        <v>0</v>
      </c>
      <c r="I660" s="19">
        <f>SUM(F660:H660)</f>
        <v>5144775.76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82408.210000000006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82408.210000000006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201850.60000000003</v>
      </c>
      <c r="G662" s="19">
        <f>(L226+L306)-(J226+J306)</f>
        <v>0</v>
      </c>
      <c r="H662" s="19">
        <f>(L244+L325)-(J244+J325)</f>
        <v>0</v>
      </c>
      <c r="I662" s="19">
        <f>SUM(F662:H662)</f>
        <v>201850.60000000003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177847.16999999998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177847.16999999998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4682669.7799999993</v>
      </c>
      <c r="G664" s="19">
        <f>G660-SUM(G661:G663)</f>
        <v>0</v>
      </c>
      <c r="H664" s="19">
        <f>H660-SUM(H661:H663)</f>
        <v>0</v>
      </c>
      <c r="I664" s="19">
        <f>I660-SUM(I661:I663)</f>
        <v>4682669.7799999993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257.56</v>
      </c>
      <c r="G665" s="248"/>
      <c r="H665" s="248"/>
      <c r="I665" s="19">
        <f>SUM(F665:H665)</f>
        <v>257.56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18180.89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18180.89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18180.89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18180.89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HAMPTON FALLS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1532845.33</v>
      </c>
      <c r="C9" s="229">
        <f>'DOE25'!G197+'DOE25'!G215+'DOE25'!G233+'DOE25'!G276+'DOE25'!G295+'DOE25'!G314</f>
        <v>702751.15999999992</v>
      </c>
    </row>
    <row r="10" spans="1:3" x14ac:dyDescent="0.2">
      <c r="A10" t="s">
        <v>779</v>
      </c>
      <c r="B10" s="240">
        <f>1472178.21+10332.5</f>
        <v>1482510.71</v>
      </c>
      <c r="C10" s="240">
        <f>997.45+675725.06-0.02</f>
        <v>676722.49</v>
      </c>
    </row>
    <row r="11" spans="1:3" x14ac:dyDescent="0.2">
      <c r="A11" t="s">
        <v>780</v>
      </c>
      <c r="B11" s="240">
        <v>20551.62</v>
      </c>
      <c r="C11" s="240">
        <v>23601.63</v>
      </c>
    </row>
    <row r="12" spans="1:3" x14ac:dyDescent="0.2">
      <c r="A12" t="s">
        <v>781</v>
      </c>
      <c r="B12" s="240">
        <f>14613+15170</f>
        <v>29783</v>
      </c>
      <c r="C12" s="240">
        <f>1198.27+1228.77</f>
        <v>2427.04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1532845.33</v>
      </c>
      <c r="C13" s="231">
        <f>SUM(C10:C12)</f>
        <v>702751.16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679969.45</v>
      </c>
      <c r="C18" s="229">
        <f>'DOE25'!G198+'DOE25'!G216+'DOE25'!G234+'DOE25'!G277+'DOE25'!G296+'DOE25'!G315</f>
        <v>272732.64</v>
      </c>
    </row>
    <row r="19" spans="1:3" x14ac:dyDescent="0.2">
      <c r="A19" t="s">
        <v>779</v>
      </c>
      <c r="B19" s="240">
        <f>291556.28+77658.9</f>
        <v>369215.18000000005</v>
      </c>
      <c r="C19" s="240">
        <f>107800.59+35438.1-0.01</f>
        <v>143238.68</v>
      </c>
    </row>
    <row r="20" spans="1:3" x14ac:dyDescent="0.2">
      <c r="A20" t="s">
        <v>780</v>
      </c>
      <c r="B20" s="240">
        <f>179808.95+15986.88</f>
        <v>195795.83000000002</v>
      </c>
      <c r="C20" s="240">
        <f>1352.28+90768.07</f>
        <v>92120.35</v>
      </c>
    </row>
    <row r="21" spans="1:3" x14ac:dyDescent="0.2">
      <c r="A21" t="s">
        <v>781</v>
      </c>
      <c r="B21" s="240">
        <f>92776.88+22181.56</f>
        <v>114958.44</v>
      </c>
      <c r="C21" s="240">
        <f>31554.91+5818.7</f>
        <v>37373.61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679969.45</v>
      </c>
      <c r="C22" s="231">
        <f>SUM(C19:C21)</f>
        <v>272732.64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31725</v>
      </c>
      <c r="C36" s="235">
        <f>'DOE25'!G200+'DOE25'!G218+'DOE25'!G236+'DOE25'!G279+'DOE25'!G298+'DOE25'!G317</f>
        <v>2569.73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31725</v>
      </c>
      <c r="C39" s="240">
        <v>2569.73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31725</v>
      </c>
      <c r="C40" s="231">
        <f>SUM(C37:C39)</f>
        <v>2569.73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HAMPTON FALLS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3497150.59</v>
      </c>
      <c r="D5" s="20">
        <f>SUM('DOE25'!L197:L200)+SUM('DOE25'!L215:L218)+SUM('DOE25'!L233:L236)-F5-G5</f>
        <v>3485447.03</v>
      </c>
      <c r="E5" s="243"/>
      <c r="F5" s="255">
        <f>SUM('DOE25'!J197:J200)+SUM('DOE25'!J215:J218)+SUM('DOE25'!J233:J236)</f>
        <v>10839.06</v>
      </c>
      <c r="G5" s="53">
        <f>SUM('DOE25'!K197:K200)+SUM('DOE25'!K215:K218)+SUM('DOE25'!K233:K236)</f>
        <v>864.5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136596.55999999997</v>
      </c>
      <c r="D6" s="20">
        <f>'DOE25'!L202+'DOE25'!L220+'DOE25'!L238-F6-G6</f>
        <v>136261.27999999997</v>
      </c>
      <c r="E6" s="243"/>
      <c r="F6" s="255">
        <f>'DOE25'!J202+'DOE25'!J220+'DOE25'!J238</f>
        <v>185.28</v>
      </c>
      <c r="G6" s="53">
        <f>'DOE25'!K202+'DOE25'!K220+'DOE25'!K238</f>
        <v>150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258915.18999999994</v>
      </c>
      <c r="D7" s="20">
        <f>'DOE25'!L203+'DOE25'!L221+'DOE25'!L239-F7-G7</f>
        <v>247196.07999999996</v>
      </c>
      <c r="E7" s="243"/>
      <c r="F7" s="255">
        <f>'DOE25'!J203+'DOE25'!J221+'DOE25'!J239</f>
        <v>11719.11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66058.559999999983</v>
      </c>
      <c r="D8" s="243"/>
      <c r="E8" s="20">
        <f>'DOE25'!L204+'DOE25'!L222+'DOE25'!L240-F8-G8-D9-D11</f>
        <v>60069.679999999986</v>
      </c>
      <c r="F8" s="255">
        <f>'DOE25'!J204+'DOE25'!J222+'DOE25'!J240</f>
        <v>0</v>
      </c>
      <c r="G8" s="53">
        <f>'DOE25'!K204+'DOE25'!K222+'DOE25'!K240</f>
        <v>5988.88</v>
      </c>
      <c r="H8" s="259"/>
    </row>
    <row r="9" spans="1:9" x14ac:dyDescent="0.2">
      <c r="A9" s="32">
        <v>2310</v>
      </c>
      <c r="B9" t="s">
        <v>818</v>
      </c>
      <c r="C9" s="245">
        <f t="shared" si="0"/>
        <v>50152</v>
      </c>
      <c r="D9" s="244">
        <v>50152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7885</v>
      </c>
      <c r="D10" s="243"/>
      <c r="E10" s="244">
        <v>7885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33641.18</v>
      </c>
      <c r="D11" s="244">
        <v>33641.18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203250.16</v>
      </c>
      <c r="D12" s="20">
        <f>'DOE25'!L205+'DOE25'!L223+'DOE25'!L241-F12-G12</f>
        <v>202916.66</v>
      </c>
      <c r="E12" s="243"/>
      <c r="F12" s="255">
        <f>'DOE25'!J205+'DOE25'!J223+'DOE25'!J241</f>
        <v>0</v>
      </c>
      <c r="G12" s="53">
        <f>'DOE25'!K205+'DOE25'!K223+'DOE25'!K241</f>
        <v>333.5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517839.8</v>
      </c>
      <c r="D14" s="20">
        <f>'DOE25'!L207+'DOE25'!L225+'DOE25'!L243-F14-G14</f>
        <v>387772.38</v>
      </c>
      <c r="E14" s="243"/>
      <c r="F14" s="255">
        <f>'DOE25'!J207+'DOE25'!J225+'DOE25'!J243</f>
        <v>129722.42</v>
      </c>
      <c r="G14" s="53">
        <f>'DOE25'!K207+'DOE25'!K225+'DOE25'!K243</f>
        <v>345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201850.60000000003</v>
      </c>
      <c r="D15" s="20">
        <f>'DOE25'!L208+'DOE25'!L226+'DOE25'!L244-F15-G15</f>
        <v>201850.60000000003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599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599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30630.29</v>
      </c>
      <c r="D22" s="243"/>
      <c r="E22" s="243"/>
      <c r="F22" s="255">
        <f>'DOE25'!L255+'DOE25'!L336</f>
        <v>30630.29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89021.5</v>
      </c>
      <c r="D25" s="243"/>
      <c r="E25" s="243"/>
      <c r="F25" s="258"/>
      <c r="G25" s="256"/>
      <c r="H25" s="257">
        <f>'DOE25'!L260+'DOE25'!L261+'DOE25'!L341+'DOE25'!L342</f>
        <v>89021.5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72503.950000000012</v>
      </c>
      <c r="D29" s="20">
        <f>'DOE25'!L358+'DOE25'!L359+'DOE25'!L360-'DOE25'!I367-F29-G29</f>
        <v>70253.12000000001</v>
      </c>
      <c r="E29" s="243"/>
      <c r="F29" s="255">
        <f>'DOE25'!J358+'DOE25'!J359+'DOE25'!J360</f>
        <v>1485.58</v>
      </c>
      <c r="G29" s="53">
        <f>'DOE25'!K358+'DOE25'!K359+'DOE25'!K360</f>
        <v>765.25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62144.71</v>
      </c>
      <c r="D31" s="20">
        <f>'DOE25'!L290+'DOE25'!L309+'DOE25'!L328+'DOE25'!L333+'DOE25'!L334+'DOE25'!L335-F31-G31</f>
        <v>52733.83</v>
      </c>
      <c r="E31" s="243"/>
      <c r="F31" s="255">
        <f>'DOE25'!J290+'DOE25'!J309+'DOE25'!J328+'DOE25'!J333+'DOE25'!J334+'DOE25'!J335</f>
        <v>8228</v>
      </c>
      <c r="G31" s="53">
        <f>'DOE25'!K290+'DOE25'!K309+'DOE25'!K328+'DOE25'!K333+'DOE25'!K334+'DOE25'!K335</f>
        <v>1182.8800000000001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4868224.16</v>
      </c>
      <c r="E33" s="246">
        <f>SUM(E5:E31)</f>
        <v>67954.679999999993</v>
      </c>
      <c r="F33" s="246">
        <f>SUM(F5:F31)</f>
        <v>192809.74</v>
      </c>
      <c r="G33" s="246">
        <f>SUM(G5:G31)</f>
        <v>10229.010000000002</v>
      </c>
      <c r="H33" s="246">
        <f>SUM(H5:H31)</f>
        <v>89021.5</v>
      </c>
    </row>
    <row r="35" spans="2:8" ht="12" thickBot="1" x14ac:dyDescent="0.25">
      <c r="B35" s="253" t="s">
        <v>847</v>
      </c>
      <c r="D35" s="254">
        <f>E33</f>
        <v>67954.679999999993</v>
      </c>
      <c r="E35" s="249"/>
    </row>
    <row r="36" spans="2:8" ht="12" thickTop="1" x14ac:dyDescent="0.2">
      <c r="B36" t="s">
        <v>815</v>
      </c>
      <c r="D36" s="20">
        <f>D33</f>
        <v>4868224.16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FALLS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181811.65000000002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52687.08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11430.46</v>
      </c>
      <c r="D11" s="95">
        <f>'DOE25'!G12</f>
        <v>1108.73</v>
      </c>
      <c r="E11" s="95">
        <f>'DOE25'!H12</f>
        <v>12539.19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3931.76</v>
      </c>
      <c r="D12" s="95">
        <f>'DOE25'!G13</f>
        <v>1696.95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158532.43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2600.63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3126.5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358832.80000000005</v>
      </c>
      <c r="D18" s="41">
        <f>SUM(D8:D17)</f>
        <v>5406.31</v>
      </c>
      <c r="E18" s="41">
        <f>SUM(E8:E17)</f>
        <v>12539.19</v>
      </c>
      <c r="F18" s="41">
        <f>SUM(F8:F17)</f>
        <v>0</v>
      </c>
      <c r="G18" s="41">
        <f>SUM(G8:G17)</f>
        <v>52687.08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12539.19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35909.26</v>
      </c>
      <c r="D23" s="95">
        <f>'DOE25'!G24</f>
        <v>53.86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963.2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21861.1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2696.39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58733.56</v>
      </c>
      <c r="D31" s="41">
        <f>SUM(D21:D30)</f>
        <v>2750.25</v>
      </c>
      <c r="E31" s="41">
        <f>SUM(E21:E30)</f>
        <v>12539.19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2600.63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3126.5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20416.77</v>
      </c>
      <c r="D47" s="95">
        <f>'DOE25'!G48</f>
        <v>55.43</v>
      </c>
      <c r="E47" s="95">
        <f>'DOE25'!H48</f>
        <v>0</v>
      </c>
      <c r="F47" s="95">
        <f>'DOE25'!I48</f>
        <v>0</v>
      </c>
      <c r="G47" s="95">
        <f>'DOE25'!J48</f>
        <v>52687.08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31547.63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195008.34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300099.24</v>
      </c>
      <c r="D50" s="41">
        <f>SUM(D34:D49)</f>
        <v>2656.06</v>
      </c>
      <c r="E50" s="41">
        <f>SUM(E34:E49)</f>
        <v>0</v>
      </c>
      <c r="F50" s="41">
        <f>SUM(F34:F49)</f>
        <v>0</v>
      </c>
      <c r="G50" s="41">
        <f>SUM(G34:G49)</f>
        <v>52687.08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358832.8</v>
      </c>
      <c r="D51" s="41">
        <f>D50+D31</f>
        <v>5406.3099999999995</v>
      </c>
      <c r="E51" s="41">
        <f>E50+E31</f>
        <v>12539.19</v>
      </c>
      <c r="F51" s="41">
        <f>F50+F31</f>
        <v>0</v>
      </c>
      <c r="G51" s="41">
        <f>G50+G31</f>
        <v>52687.08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4023489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63.28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1972.21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82408.210000000006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240875.82999999996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240939.10999999996</v>
      </c>
      <c r="D62" s="130">
        <f>SUM(D57:D61)</f>
        <v>82408.210000000006</v>
      </c>
      <c r="E62" s="130">
        <f>SUM(E57:E61)</f>
        <v>0</v>
      </c>
      <c r="F62" s="130">
        <f>SUM(F57:F61)</f>
        <v>0</v>
      </c>
      <c r="G62" s="130">
        <f>SUM(G57:G61)</f>
        <v>1972.21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4264428.1100000003</v>
      </c>
      <c r="D63" s="22">
        <f>D56+D62</f>
        <v>82408.210000000006</v>
      </c>
      <c r="E63" s="22">
        <f>E56+E62</f>
        <v>0</v>
      </c>
      <c r="F63" s="22">
        <f>F56+F62</f>
        <v>0</v>
      </c>
      <c r="G63" s="22">
        <f>G56+G62</f>
        <v>1972.21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114258.77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726832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841090.77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1404.96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1404.96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841090.77</v>
      </c>
      <c r="D81" s="130">
        <f>SUM(D79:D80)+D78+D70</f>
        <v>1404.96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25714.7</v>
      </c>
      <c r="D88" s="95">
        <f>SUM('DOE25'!G153:G161)</f>
        <v>20885.62</v>
      </c>
      <c r="E88" s="95">
        <f>SUM('DOE25'!H153:H161)</f>
        <v>62144.71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5730.29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25714.7</v>
      </c>
      <c r="D91" s="131">
        <f>SUM(D85:D90)</f>
        <v>26615.91</v>
      </c>
      <c r="E91" s="131">
        <f>SUM(E85:E90)</f>
        <v>62144.71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8600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8600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5131233.580000001</v>
      </c>
      <c r="D104" s="86">
        <f>D63+D81+D91+D103</f>
        <v>119029.08000000002</v>
      </c>
      <c r="E104" s="86">
        <f>E63+E81+E91+E103</f>
        <v>62144.71</v>
      </c>
      <c r="F104" s="86">
        <f>F63+F81+F91+F103</f>
        <v>0</v>
      </c>
      <c r="G104" s="86">
        <f>G63+G81+G103</f>
        <v>26972.21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2282895.8199999998</v>
      </c>
      <c r="D109" s="24" t="s">
        <v>289</v>
      </c>
      <c r="E109" s="95">
        <f>('DOE25'!L276)+('DOE25'!L295)+('DOE25'!L314)</f>
        <v>23011.800000000003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1163291.6499999999</v>
      </c>
      <c r="D110" s="24" t="s">
        <v>289</v>
      </c>
      <c r="E110" s="95">
        <f>('DOE25'!L277)+('DOE25'!L296)+('DOE25'!L315)</f>
        <v>37586.720000000001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50963.12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3497150.59</v>
      </c>
      <c r="D115" s="86">
        <f>SUM(D109:D114)</f>
        <v>0</v>
      </c>
      <c r="E115" s="86">
        <f>SUM(E109:E114)</f>
        <v>60598.520000000004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136596.55999999997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258915.18999999994</v>
      </c>
      <c r="D119" s="24" t="s">
        <v>289</v>
      </c>
      <c r="E119" s="95">
        <f>+('DOE25'!L282)+('DOE25'!L301)+('DOE25'!L320)</f>
        <v>363.31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149851.74</v>
      </c>
      <c r="D120" s="24" t="s">
        <v>289</v>
      </c>
      <c r="E120" s="95">
        <f>+('DOE25'!L283)+('DOE25'!L302)+('DOE25'!L321)</f>
        <v>1182.8800000000001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203250.16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517839.8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201850.60000000003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599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116577.41000000002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1468903.05</v>
      </c>
      <c r="D128" s="86">
        <f>SUM(D118:D127)</f>
        <v>116577.41000000002</v>
      </c>
      <c r="E128" s="86">
        <f>SUM(E118:E127)</f>
        <v>1546.19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30630.29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39021.5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8600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26972.21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-1972.2099999999991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153251.79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5119305.43</v>
      </c>
      <c r="D145" s="86">
        <f>(D115+D128+D144)</f>
        <v>116577.41000000002</v>
      </c>
      <c r="E145" s="86">
        <f>(E115+E128+E144)</f>
        <v>62144.710000000006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1468000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835000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89021.5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89021.5</v>
      </c>
    </row>
    <row r="159" spans="1:9" x14ac:dyDescent="0.2">
      <c r="A159" s="22" t="s">
        <v>35</v>
      </c>
      <c r="B159" s="137">
        <f>'DOE25'!F498</f>
        <v>785000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785000</v>
      </c>
    </row>
    <row r="160" spans="1:9" x14ac:dyDescent="0.2">
      <c r="A160" s="22" t="s">
        <v>36</v>
      </c>
      <c r="B160" s="137">
        <f>'DOE25'!F499</f>
        <v>211718.75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211718.75</v>
      </c>
    </row>
    <row r="161" spans="1:7" x14ac:dyDescent="0.2">
      <c r="A161" s="22" t="s">
        <v>37</v>
      </c>
      <c r="B161" s="137">
        <f>'DOE25'!F500</f>
        <v>996718.75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996718.75</v>
      </c>
    </row>
    <row r="162" spans="1:7" x14ac:dyDescent="0.2">
      <c r="A162" s="22" t="s">
        <v>38</v>
      </c>
      <c r="B162" s="137">
        <f>'DOE25'!F501</f>
        <v>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55000</v>
      </c>
    </row>
    <row r="163" spans="1:7" x14ac:dyDescent="0.2">
      <c r="A163" s="22" t="s">
        <v>39</v>
      </c>
      <c r="B163" s="137">
        <f>'DOE25'!F502</f>
        <v>34396.5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34396.5</v>
      </c>
    </row>
    <row r="164" spans="1:7" x14ac:dyDescent="0.2">
      <c r="A164" s="22" t="s">
        <v>246</v>
      </c>
      <c r="B164" s="137">
        <f>'DOE25'!F503</f>
        <v>89396.5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89396.5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HAMPTON FALLS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18181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18181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2305908</v>
      </c>
      <c r="D10" s="182">
        <f>ROUND((C10/$C$28)*100,1)</f>
        <v>45.2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1200878</v>
      </c>
      <c r="D11" s="182">
        <f>ROUND((C11/$C$28)*100,1)</f>
        <v>23.5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50963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136597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259279</v>
      </c>
      <c r="D16" s="182">
        <f t="shared" si="0"/>
        <v>5.0999999999999996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151634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203250</v>
      </c>
      <c r="D18" s="182">
        <f t="shared" si="0"/>
        <v>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517840</v>
      </c>
      <c r="D20" s="182">
        <f t="shared" si="0"/>
        <v>10.199999999999999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201851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39022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34168.789999999994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5101390.79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30630</v>
      </c>
    </row>
    <row r="30" spans="1:4" x14ac:dyDescent="0.2">
      <c r="B30" s="187" t="s">
        <v>729</v>
      </c>
      <c r="C30" s="180">
        <f>SUM(C28:C29)</f>
        <v>5132020.79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4023489</v>
      </c>
      <c r="D35" s="182">
        <f t="shared" ref="D35:D40" si="1">ROUND((C35/$C$41)*100,1)</f>
        <v>77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242911.3200000003</v>
      </c>
      <c r="D36" s="182">
        <f t="shared" si="1"/>
        <v>4.7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841091</v>
      </c>
      <c r="D37" s="182">
        <f t="shared" si="1"/>
        <v>16.100000000000001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1405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114475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5223371.32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HAMPTON FALLS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914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916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 t="s">
        <v>915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 t="s">
        <v>917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2014-09-03T19:09:52Z</cp:lastPrinted>
  <dcterms:created xsi:type="dcterms:W3CDTF">1997-12-04T19:04:30Z</dcterms:created>
  <dcterms:modified xsi:type="dcterms:W3CDTF">2014-11-25T16:19:45Z</dcterms:modified>
</cp:coreProperties>
</file>