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F9" i="1"/>
  <c r="I611" i="1" l="1"/>
  <c r="G611" i="1"/>
  <c r="F611" i="1"/>
  <c r="I526" i="1"/>
  <c r="H526" i="1"/>
  <c r="I521" i="1"/>
  <c r="G521" i="1"/>
  <c r="F521" i="1"/>
  <c r="H472" i="1"/>
  <c r="J468" i="1"/>
  <c r="H468" i="1"/>
  <c r="I358" i="1"/>
  <c r="H358" i="1"/>
  <c r="G358" i="1"/>
  <c r="H287" i="1"/>
  <c r="K285" i="1"/>
  <c r="K283" i="1"/>
  <c r="H283" i="1"/>
  <c r="I283" i="1"/>
  <c r="G283" i="1"/>
  <c r="F283" i="1"/>
  <c r="H282" i="1"/>
  <c r="G282" i="1"/>
  <c r="F282" i="1"/>
  <c r="I282" i="1"/>
  <c r="G279" i="1"/>
  <c r="F279" i="1"/>
  <c r="H279" i="1"/>
  <c r="G277" i="1"/>
  <c r="F277" i="1"/>
  <c r="J276" i="1"/>
  <c r="I276" i="1"/>
  <c r="G276" i="1"/>
  <c r="F276" i="1"/>
  <c r="I205" i="1" l="1"/>
  <c r="I203" i="1"/>
  <c r="I202" i="1"/>
  <c r="H208" i="1"/>
  <c r="H204" i="1"/>
  <c r="H203" i="1"/>
  <c r="H202" i="1"/>
  <c r="H198" i="1"/>
  <c r="G204" i="1"/>
  <c r="G203" i="1"/>
  <c r="G202" i="1"/>
  <c r="G200" i="1"/>
  <c r="F207" i="1"/>
  <c r="F205" i="1"/>
  <c r="F204" i="1"/>
  <c r="F203" i="1"/>
  <c r="F202" i="1"/>
  <c r="F200" i="1"/>
  <c r="H63" i="1"/>
  <c r="H159" i="1"/>
  <c r="H150" i="1"/>
  <c r="G97" i="1"/>
  <c r="H28" i="1"/>
  <c r="H9" i="1"/>
  <c r="F110" i="1"/>
  <c r="F1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C124" i="2" s="1"/>
  <c r="L226" i="1"/>
  <c r="G650" i="1" s="1"/>
  <c r="L244" i="1"/>
  <c r="F17" i="13"/>
  <c r="G17" i="13"/>
  <c r="L251" i="1"/>
  <c r="F18" i="13"/>
  <c r="G18" i="13"/>
  <c r="L252" i="1"/>
  <c r="F19" i="13"/>
  <c r="G19" i="13"/>
  <c r="L253" i="1"/>
  <c r="F29" i="13"/>
  <c r="D29" i="13" s="1"/>
  <c r="C29" i="13" s="1"/>
  <c r="G29" i="13"/>
  <c r="L358" i="1"/>
  <c r="G661" i="1" s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E109" i="2" s="1"/>
  <c r="L277" i="1"/>
  <c r="E110" i="2" s="1"/>
  <c r="L278" i="1"/>
  <c r="L279" i="1"/>
  <c r="E112" i="2" s="1"/>
  <c r="L281" i="1"/>
  <c r="L282" i="1"/>
  <c r="E119" i="2" s="1"/>
  <c r="L283" i="1"/>
  <c r="L284" i="1"/>
  <c r="L285" i="1"/>
  <c r="L286" i="1"/>
  <c r="L287" i="1"/>
  <c r="C21" i="10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9" i="10"/>
  <c r="L250" i="1"/>
  <c r="L332" i="1"/>
  <c r="L254" i="1"/>
  <c r="C25" i="10"/>
  <c r="L268" i="1"/>
  <c r="L269" i="1"/>
  <c r="L349" i="1"/>
  <c r="L350" i="1"/>
  <c r="I665" i="1"/>
  <c r="I670" i="1"/>
  <c r="L247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C112" i="2"/>
  <c r="C113" i="2"/>
  <c r="E113" i="2"/>
  <c r="C114" i="2"/>
  <c r="E114" i="2"/>
  <c r="D115" i="2"/>
  <c r="F115" i="2"/>
  <c r="G115" i="2"/>
  <c r="E118" i="2"/>
  <c r="E120" i="2"/>
  <c r="E121" i="2"/>
  <c r="C122" i="2"/>
  <c r="E122" i="2"/>
  <c r="C123" i="2"/>
  <c r="E123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G32" i="1"/>
  <c r="G52" i="1" s="1"/>
  <c r="H618" i="1" s="1"/>
  <c r="H32" i="1"/>
  <c r="I32" i="1"/>
  <c r="H617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H408" i="1" s="1"/>
  <c r="H644" i="1" s="1"/>
  <c r="J644" i="1" s="1"/>
  <c r="I393" i="1"/>
  <c r="F401" i="1"/>
  <c r="G401" i="1"/>
  <c r="H401" i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F452" i="1"/>
  <c r="G452" i="1"/>
  <c r="H452" i="1"/>
  <c r="I452" i="1"/>
  <c r="F460" i="1"/>
  <c r="F461" i="1" s="1"/>
  <c r="H639" i="1" s="1"/>
  <c r="G460" i="1"/>
  <c r="H460" i="1"/>
  <c r="G461" i="1"/>
  <c r="H461" i="1"/>
  <c r="F470" i="1"/>
  <c r="G470" i="1"/>
  <c r="H470" i="1"/>
  <c r="H476" i="1" s="1"/>
  <c r="H624" i="1" s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45" i="1" s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0" i="1"/>
  <c r="H640" i="1"/>
  <c r="J640" i="1" s="1"/>
  <c r="G641" i="1"/>
  <c r="H641" i="1"/>
  <c r="G642" i="1"/>
  <c r="G643" i="1"/>
  <c r="H643" i="1"/>
  <c r="G644" i="1"/>
  <c r="G645" i="1"/>
  <c r="H645" i="1"/>
  <c r="H647" i="1"/>
  <c r="G651" i="1"/>
  <c r="G652" i="1"/>
  <c r="H652" i="1"/>
  <c r="G653" i="1"/>
  <c r="H653" i="1"/>
  <c r="G654" i="1"/>
  <c r="H654" i="1"/>
  <c r="H655" i="1"/>
  <c r="F192" i="1"/>
  <c r="L256" i="1"/>
  <c r="G164" i="2"/>
  <c r="C26" i="10"/>
  <c r="L328" i="1"/>
  <c r="L351" i="1"/>
  <c r="A31" i="12"/>
  <c r="D62" i="2"/>
  <c r="D63" i="2" s="1"/>
  <c r="D18" i="13"/>
  <c r="C18" i="13" s="1"/>
  <c r="D18" i="2"/>
  <c r="D17" i="13"/>
  <c r="C17" i="13" s="1"/>
  <c r="F78" i="2"/>
  <c r="F81" i="2" s="1"/>
  <c r="D31" i="2"/>
  <c r="C78" i="2"/>
  <c r="D50" i="2"/>
  <c r="G157" i="2"/>
  <c r="F18" i="2"/>
  <c r="G161" i="2"/>
  <c r="G156" i="2"/>
  <c r="E103" i="2"/>
  <c r="D91" i="2"/>
  <c r="G62" i="2"/>
  <c r="D19" i="13"/>
  <c r="C19" i="13" s="1"/>
  <c r="E13" i="13"/>
  <c r="C13" i="13" s="1"/>
  <c r="E78" i="2"/>
  <c r="E81" i="2" s="1"/>
  <c r="L427" i="1"/>
  <c r="J257" i="1"/>
  <c r="J271" i="1" s="1"/>
  <c r="F112" i="1"/>
  <c r="J641" i="1"/>
  <c r="K605" i="1"/>
  <c r="G648" i="1" s="1"/>
  <c r="J571" i="1"/>
  <c r="K571" i="1"/>
  <c r="L433" i="1"/>
  <c r="L419" i="1"/>
  <c r="I169" i="1"/>
  <c r="J643" i="1"/>
  <c r="I476" i="1"/>
  <c r="H625" i="1" s="1"/>
  <c r="J625" i="1" s="1"/>
  <c r="J140" i="1"/>
  <c r="F571" i="1"/>
  <c r="I552" i="1"/>
  <c r="K550" i="1"/>
  <c r="G22" i="2"/>
  <c r="J552" i="1"/>
  <c r="H552" i="1"/>
  <c r="C29" i="10"/>
  <c r="H140" i="1"/>
  <c r="L393" i="1"/>
  <c r="C138" i="2" s="1"/>
  <c r="F22" i="13"/>
  <c r="H25" i="13"/>
  <c r="C25" i="13" s="1"/>
  <c r="J651" i="1"/>
  <c r="H571" i="1"/>
  <c r="L560" i="1"/>
  <c r="G192" i="1"/>
  <c r="H192" i="1"/>
  <c r="L309" i="1"/>
  <c r="E16" i="13"/>
  <c r="C16" i="13" s="1"/>
  <c r="J655" i="1"/>
  <c r="J645" i="1"/>
  <c r="L570" i="1"/>
  <c r="I571" i="1"/>
  <c r="I545" i="1"/>
  <c r="J636" i="1"/>
  <c r="G36" i="2"/>
  <c r="L565" i="1"/>
  <c r="G545" i="1"/>
  <c r="K551" i="1"/>
  <c r="C22" i="13"/>
  <c r="H33" i="13"/>
  <c r="A40" i="12" l="1"/>
  <c r="A13" i="12"/>
  <c r="L614" i="1"/>
  <c r="H545" i="1"/>
  <c r="L524" i="1"/>
  <c r="L545" i="1" s="1"/>
  <c r="K549" i="1"/>
  <c r="K552" i="1" s="1"/>
  <c r="F552" i="1"/>
  <c r="J476" i="1"/>
  <c r="H626" i="1" s="1"/>
  <c r="G476" i="1"/>
  <c r="H623" i="1" s="1"/>
  <c r="J623" i="1" s="1"/>
  <c r="J639" i="1"/>
  <c r="I460" i="1"/>
  <c r="I461" i="1" s="1"/>
  <c r="H642" i="1" s="1"/>
  <c r="J634" i="1"/>
  <c r="D127" i="2"/>
  <c r="D128" i="2" s="1"/>
  <c r="D145" i="2" s="1"/>
  <c r="F661" i="1"/>
  <c r="I661" i="1" s="1"/>
  <c r="L362" i="1"/>
  <c r="C27" i="10" s="1"/>
  <c r="E124" i="2"/>
  <c r="E128" i="2" s="1"/>
  <c r="E145" i="2" s="1"/>
  <c r="F662" i="1"/>
  <c r="I662" i="1" s="1"/>
  <c r="C16" i="10"/>
  <c r="J338" i="1"/>
  <c r="J352" i="1" s="1"/>
  <c r="E115" i="2"/>
  <c r="L290" i="1"/>
  <c r="L338" i="1" s="1"/>
  <c r="L352" i="1" s="1"/>
  <c r="G633" i="1" s="1"/>
  <c r="J633" i="1" s="1"/>
  <c r="C13" i="10"/>
  <c r="K271" i="1"/>
  <c r="H660" i="1"/>
  <c r="H664" i="1" s="1"/>
  <c r="H667" i="1" s="1"/>
  <c r="C110" i="2"/>
  <c r="L229" i="1"/>
  <c r="H257" i="1"/>
  <c r="H271" i="1" s="1"/>
  <c r="C109" i="2"/>
  <c r="D12" i="13"/>
  <c r="C12" i="13" s="1"/>
  <c r="E8" i="13"/>
  <c r="C8" i="13" s="1"/>
  <c r="D7" i="13"/>
  <c r="C7" i="13" s="1"/>
  <c r="C119" i="2"/>
  <c r="D15" i="13"/>
  <c r="C15" i="13" s="1"/>
  <c r="J647" i="1"/>
  <c r="G649" i="1"/>
  <c r="J649" i="1" s="1"/>
  <c r="C18" i="10"/>
  <c r="D6" i="13"/>
  <c r="C6" i="13" s="1"/>
  <c r="C11" i="10"/>
  <c r="D5" i="13"/>
  <c r="C5" i="13" s="1"/>
  <c r="C121" i="2"/>
  <c r="C15" i="10"/>
  <c r="D14" i="13"/>
  <c r="C14" i="13" s="1"/>
  <c r="C120" i="2"/>
  <c r="C17" i="10"/>
  <c r="L211" i="1"/>
  <c r="C10" i="10"/>
  <c r="H112" i="1"/>
  <c r="H193" i="1" s="1"/>
  <c r="G629" i="1" s="1"/>
  <c r="J629" i="1" s="1"/>
  <c r="E62" i="2"/>
  <c r="E63" i="2" s="1"/>
  <c r="J624" i="1"/>
  <c r="E31" i="2"/>
  <c r="H52" i="1"/>
  <c r="H619" i="1" s="1"/>
  <c r="J619" i="1" s="1"/>
  <c r="C81" i="2"/>
  <c r="C62" i="2"/>
  <c r="C63" i="2" s="1"/>
  <c r="C104" i="2" s="1"/>
  <c r="J622" i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J642" i="1"/>
  <c r="G571" i="1"/>
  <c r="I434" i="1"/>
  <c r="G434" i="1"/>
  <c r="I663" i="1"/>
  <c r="E104" i="2" l="1"/>
  <c r="G635" i="1"/>
  <c r="J635" i="1" s="1"/>
  <c r="F660" i="1"/>
  <c r="I660" i="1" s="1"/>
  <c r="I664" i="1" s="1"/>
  <c r="I672" i="1" s="1"/>
  <c r="C7" i="10" s="1"/>
  <c r="D31" i="13"/>
  <c r="C31" i="13" s="1"/>
  <c r="H648" i="1"/>
  <c r="J648" i="1" s="1"/>
  <c r="H672" i="1"/>
  <c r="C6" i="10" s="1"/>
  <c r="C115" i="2"/>
  <c r="G672" i="1"/>
  <c r="C5" i="10" s="1"/>
  <c r="E33" i="13"/>
  <c r="D35" i="13" s="1"/>
  <c r="C128" i="2"/>
  <c r="C28" i="10"/>
  <c r="D22" i="10" s="1"/>
  <c r="L257" i="1"/>
  <c r="L271" i="1" s="1"/>
  <c r="G632" i="1" s="1"/>
  <c r="J632" i="1" s="1"/>
  <c r="C36" i="10"/>
  <c r="E51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F664" i="1" l="1"/>
  <c r="F667" i="1" s="1"/>
  <c r="D33" i="13"/>
  <c r="D36" i="13" s="1"/>
  <c r="C145" i="2"/>
  <c r="D27" i="10"/>
  <c r="D16" i="10"/>
  <c r="D24" i="10"/>
  <c r="D26" i="10"/>
  <c r="D17" i="10"/>
  <c r="D10" i="10"/>
  <c r="C30" i="10"/>
  <c r="D23" i="10"/>
  <c r="D18" i="10"/>
  <c r="D12" i="10"/>
  <c r="D20" i="10"/>
  <c r="D15" i="10"/>
  <c r="D25" i="10"/>
  <c r="D19" i="10"/>
  <c r="D13" i="10"/>
  <c r="D11" i="10"/>
  <c r="D21" i="10"/>
  <c r="I667" i="1"/>
  <c r="H656" i="1"/>
  <c r="C41" i="10"/>
  <c r="D38" i="10" s="1"/>
  <c r="F672" i="1" l="1"/>
  <c r="C4" i="10" s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<sst xmlns="http://schemas.openxmlformats.org/spreadsheetml/2006/main" count="3954" uniqueCount="912">
  <si>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</si>
  <si>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</si>
  <si>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</si>
  <si>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</si>
  <si>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</si>
  <si>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</si>
  <si>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</si>
  <si>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</si>
  <si>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</si>
  <si>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</si>
  <si>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</si>
  <si>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</si>
  <si>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</si>
  <si>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</si>
  <si>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</si>
  <si>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</si>
  <si>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</si>
  <si>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</si>
  <si>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</si>
  <si>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</si>
  <si>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</si>
  <si>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</si>
  <si>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</si>
  <si>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</si>
  <si>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</si>
  <si>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</si>
  <si>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</si>
  <si>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</si>
  <si>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</si>
  <si>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</si>
  <si>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</si>
  <si>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</si>
  <si>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</si>
  <si>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</si>
  <si>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</si>
  <si>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</si>
  <si>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</si>
  <si>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</si>
  <si>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</si>
  <si>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</si>
  <si>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</si>
  <si>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</si>
  <si>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</si>
  <si>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</si>
  <si>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</si>
  <si>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</si>
  <si>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</si>
  <si>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</si>
  <si>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</si>
  <si>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</si>
  <si>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</si>
  <si>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</si>
  <si>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</si>
  <si>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</si>
  <si>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</si>
  <si>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</si>
  <si>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</si>
  <si>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</si>
  <si>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</si>
  <si>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</si>
  <si>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</si>
  <si>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</si>
  <si>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</si>
  <si>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</si>
  <si>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</si>
  <si>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</si>
  <si>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</si>
  <si>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</si>
  <si>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</si>
  <si>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</si>
  <si>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</si>
  <si>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</si>
  <si>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</si>
  <si>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</si>
  <si>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</si>
  <si>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</si>
  <si>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</si>
  <si>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</si>
  <si>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</si>
  <si>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</si>
  <si>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</si>
  <si>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</si>
  <si>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</si>
  <si>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</si>
  <si>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</si>
  <si>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</si>
  <si>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</si>
  <si>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</si>
  <si>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</si>
  <si>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</si>
  <si>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</si>
  <si>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</si>
  <si>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</si>
  <si>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</si>
  <si>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</si>
  <si>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</si>
  <si>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</si>
  <si>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</si>
  <si>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</si>
  <si>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</si>
  <si>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</si>
  <si>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</si>
  <si>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</si>
  <si>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</si>
  <si>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</si>
  <si>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</si>
  <si>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</si>
  <si>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</si>
  <si>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</si>
  <si>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</si>
  <si>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</si>
  <si>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</si>
  <si>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</si>
  <si>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</si>
  <si>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</si>
  <si>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</si>
  <si>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</si>
  <si>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</si>
  <si>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</si>
  <si>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</si>
  <si>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</si>
  <si>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</si>
  <si>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</si>
  <si>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</si>
  <si>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</si>
  <si>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</si>
  <si>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</si>
  <si>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</si>
  <si>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</si>
  <si>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</si>
  <si>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</si>
  <si>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</si>
  <si>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</si>
  <si>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</si>
  <si>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</si>
  <si>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</si>
  <si>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</si>
  <si>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</si>
  <si>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</si>
  <si>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</si>
  <si>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</si>
  <si>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</si>
  <si>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</si>
  <si>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</si>
  <si>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</si>
  <si>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</si>
  <si>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</si>
  <si>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</si>
  <si>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</si>
  <si>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</si>
  <si>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</si>
  <si>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</si>
  <si>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</si>
  <si>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</si>
  <si>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</si>
  <si>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</si>
  <si>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</si>
  <si>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</si>
  <si>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</si>
  <si>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</si>
  <si>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</si>
  <si>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</si>
  <si>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</si>
  <si>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</si>
  <si>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</si>
  <si>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</si>
  <si>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</si>
  <si>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</si>
  <si>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</si>
  <si>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</si>
  <si>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</si>
  <si>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</si>
  <si>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</si>
  <si>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</si>
  <si>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</si>
  <si>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</si>
  <si>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</si>
  <si>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</si>
  <si>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</si>
  <si>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</si>
  <si>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</si>
  <si>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</si>
  <si>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</si>
  <si>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</si>
  <si>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</si>
  <si>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</si>
  <si>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</si>
  <si>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</si>
  <si>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</si>
  <si>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</si>
  <si>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</si>
  <si>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</si>
  <si>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</si>
  <si>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</si>
  <si>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</si>
  <si>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</si>
  <si>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</si>
  <si>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</si>
  <si>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</si>
  <si>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</si>
  <si>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</si>
  <si>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</si>
  <si>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</si>
  <si>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</si>
  <si>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</si>
  <si>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</si>
  <si>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</si>
  <si>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</si>
  <si>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</si>
  <si>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</si>
  <si>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</si>
  <si>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</si>
  <si>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</si>
  <si>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</si>
  <si>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</si>
  <si>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</si>
  <si>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</si>
  <si>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</si>
  <si>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</si>
  <si>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</si>
  <si>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</si>
  <si>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</si>
  <si>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</si>
  <si>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</si>
  <si>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</si>
  <si>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</si>
  <si>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</si>
  <si>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</si>
  <si>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</si>
  <si>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</si>
  <si>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</si>
  <si>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</si>
  <si>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</si>
  <si>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</si>
  <si>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</si>
  <si>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</si>
  <si>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</si>
  <si>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</si>
  <si>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</si>
  <si>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</si>
  <si>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</si>
  <si>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</si>
  <si>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</si>
  <si>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</si>
  <si>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</si>
  <si>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</si>
  <si>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</si>
  <si>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</si>
  <si>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</si>
  <si>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</si>
  <si>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</si>
  <si>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</si>
  <si>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</si>
  <si>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</si>
  <si>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</si>
  <si>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</si>
  <si>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</si>
  <si>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</si>
  <si>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</si>
  <si>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</si>
  <si>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</si>
  <si>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</si>
  <si>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</si>
  <si>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</si>
  <si>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</si>
  <si>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</si>
  <si>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</si>
  <si>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</si>
  <si>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</si>
  <si>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</si>
  <si>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</si>
  <si>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</si>
  <si>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</si>
  <si>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</si>
  <si>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</si>
  <si>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</si>
  <si>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</si>
  <si>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</si>
  <si>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</si>
  <si>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</si>
  <si>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</si>
  <si>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</si>
  <si>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</si>
  <si>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</si>
  <si>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</si>
  <si>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</si>
  <si>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</si>
  <si>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</si>
  <si>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</si>
  <si>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</si>
  <si>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</si>
  <si>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</si>
  <si>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</si>
  <si>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</si>
  <si>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</si>
  <si>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</si>
  <si>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</si>
  <si>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</si>
  <si>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</si>
  <si>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</si>
  <si>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</si>
  <si>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</si>
  <si>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</si>
  <si>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</si>
  <si>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</si>
  <si>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</si>
  <si>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</si>
  <si>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</si>
  <si>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</si>
  <si>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</si>
  <si>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</si>
  <si>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</si>
  <si>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</si>
  <si>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</si>
  <si>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</si>
  <si>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</si>
  <si>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</si>
  <si>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</si>
  <si>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</si>
  <si>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</si>
  <si>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</si>
  <si>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</si>
  <si>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</si>
  <si>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</si>
  <si>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</si>
  <si>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</si>
  <si>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</si>
  <si>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</si>
  <si>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</si>
  <si>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</si>
  <si>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</si>
  <si>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</si>
  <si>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</si>
  <si>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</si>
  <si>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</si>
  <si>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</si>
  <si>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</si>
  <si>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</si>
  <si>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</si>
  <si>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</si>
  <si>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</si>
  <si>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</si>
  <si>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</si>
  <si>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</si>
  <si>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</si>
  <si>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</si>
  <si>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</si>
  <si>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</si>
  <si>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</si>
  <si>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</si>
  <si>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</si>
  <si>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</si>
  <si>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</si>
  <si>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</si>
  <si>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</si>
  <si>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</si>
  <si>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</si>
  <si>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</si>
  <si>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</si>
  <si>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</si>
  <si>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</si>
  <si>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</si>
  <si>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</si>
  <si>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</si>
  <si>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</si>
  <si>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</si>
  <si>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</si>
  <si>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</si>
  <si>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</si>
  <si>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</si>
  <si>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</si>
  <si>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</si>
  <si>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</si>
  <si>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</si>
  <si>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</si>
  <si>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</si>
  <si>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</si>
  <si>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</si>
  <si>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</si>
  <si>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</si>
  <si>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</si>
  <si>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</si>
  <si>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</si>
  <si>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</si>
  <si>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</si>
  <si>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</si>
  <si>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</si>
  <si>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</si>
  <si>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</si>
  <si>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</si>
  <si>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</si>
  <si>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</si>
  <si>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</si>
  <si>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</si>
  <si>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</si>
  <si>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</si>
  <si>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</si>
  <si>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</si>
  <si>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</si>
  <si>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</si>
  <si>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</si>
  <si>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</si>
  <si>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</si>
  <si>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</si>
  <si>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</si>
  <si>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</si>
  <si>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</si>
  <si>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</si>
  <si>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</si>
  <si>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</si>
  <si>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</si>
  <si>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</si>
  <si>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</si>
  <si>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</si>
  <si>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</si>
  <si>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</si>
  <si>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</si>
  <si>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</si>
  <si>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</si>
  <si>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</si>
  <si>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</si>
  <si>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</si>
  <si>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</si>
  <si>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</si>
  <si>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</si>
  <si>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</si>
  <si>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</si>
  <si>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</si>
  <si>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</si>
  <si>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</si>
  <si>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</si>
  <si>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</si>
  <si>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</si>
  <si>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</si>
  <si>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</si>
  <si>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</si>
  <si>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</si>
  <si>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</si>
  <si>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</si>
  <si>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</si>
  <si>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</si>
  <si>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</si>
  <si>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</si>
  <si>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</si>
  <si>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</si>
  <si>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</si>
  <si>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</si>
  <si>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</si>
  <si>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</si>
  <si>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</si>
  <si>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</si>
  <si>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</si>
  <si>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</si>
  <si>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</si>
  <si>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</si>
  <si>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</si>
  <si>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</si>
  <si>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</si>
  <si>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</si>
  <si>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</si>
  <si>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</si>
  <si>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</si>
  <si>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</si>
  <si>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</si>
  <si>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</si>
  <si>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</si>
  <si>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</si>
  <si>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</si>
  <si>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</si>
  <si>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</si>
  <si>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</si>
  <si>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</si>
  <si>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</si>
  <si>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</si>
  <si>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</si>
  <si>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</si>
  <si>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</si>
  <si>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</si>
  <si>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</si>
  <si>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</si>
  <si>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</si>
  <si>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</si>
  <si>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</si>
  <si>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</si>
  <si>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</si>
  <si>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</si>
  <si>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</si>
  <si>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</si>
  <si>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</si>
  <si>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</si>
  <si>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</si>
  <si>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</si>
  <si>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</si>
  <si>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</si>
  <si>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</si>
  <si>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</si>
  <si>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</si>
  <si>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</si>
  <si>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</si>
  <si>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</si>
  <si>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</si>
  <si>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</si>
  <si>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</si>
  <si>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</si>
  <si>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</si>
  <si>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</si>
  <si>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</si>
  <si>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</si>
  <si>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</si>
  <si>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</si>
  <si>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</si>
  <si>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</si>
  <si>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</si>
  <si>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</si>
  <si>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</si>
  <si>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</si>
  <si>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</si>
  <si>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</si>
  <si>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</si>
  <si>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</si>
  <si>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</si>
  <si>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</si>
  <si>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</si>
  <si>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</si>
  <si>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</si>
  <si>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</si>
  <si>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</si>
  <si>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</si>
  <si>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</si>
  <si>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</si>
  <si>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</si>
  <si>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</si>
  <si>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</si>
  <si>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</si>
  <si>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</si>
  <si>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</si>
  <si>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</si>
  <si>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</si>
  <si>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</si>
  <si>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</si>
  <si>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</si>
  <si>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</si>
  <si>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</si>
  <si>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</si>
  <si>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</si>
  <si>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</si>
  <si>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</si>
  <si>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</si>
  <si>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</si>
  <si>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</si>
  <si>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</si>
  <si>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</si>
  <si>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</si>
  <si>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</si>
  <si>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</si>
  <si>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</si>
  <si>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</si>
  <si>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</si>
  <si>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</si>
  <si>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</si>
  <si>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</si>
  <si>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</si>
  <si>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</si>
  <si>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</si>
  <si>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</si>
  <si>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</si>
  <si>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</si>
  <si>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</si>
  <si>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</si>
  <si>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</si>
  <si>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</si>
  <si>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</si>
  <si>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</si>
  <si>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</si>
  <si>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</si>
  <si>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</si>
  <si>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</si>
  <si>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</si>
  <si>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</si>
  <si>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</si>
  <si>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</si>
  <si>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</si>
  <si>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</si>
  <si>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</si>
  <si>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</si>
  <si>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</si>
  <si>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</si>
  <si>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</si>
  <si>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</si>
  <si>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</si>
  <si>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</si>
  <si>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</si>
  <si>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</si>
  <si>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</si>
  <si>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</si>
  <si>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</si>
  <si>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</si>
  <si>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</si>
  <si>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</si>
  <si>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</si>
  <si>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</si>
  <si>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</si>
  <si>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</si>
  <si>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</si>
  <si>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</si>
  <si>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</si>
  <si>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</si>
  <si>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</si>
  <si>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</si>
  <si>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</si>
  <si>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</si>
  <si>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</si>
  <si>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</si>
  <si>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</si>
  <si>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</si>
  <si>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</si>
  <si>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</si>
  <si>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</si>
  <si>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</si>
  <si>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</si>
  <si>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</si>
  <si>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</si>
  <si>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</si>
  <si>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</si>
  <si>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</si>
  <si>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</si>
  <si>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</si>
  <si>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</si>
  <si>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</si>
  <si>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</si>
  <si>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</si>
  <si>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</si>
  <si>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</si>
  <si>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</si>
  <si>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</si>
  <si>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</si>
  <si>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</si>
  <si>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</si>
  <si>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</si>
  <si>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</si>
  <si>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</si>
  <si>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</si>
  <si>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</si>
  <si>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</si>
  <si>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</si>
  <si>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</si>
  <si>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</si>
  <si>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</si>
  <si>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</si>
  <si>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</si>
  <si>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</si>
  <si>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</si>
  <si>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</si>
  <si>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</si>
  <si>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</si>
  <si>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</si>
  <si>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</si>
  <si>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</si>
  <si>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</si>
  <si>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</si>
  <si>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</si>
  <si>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</si>
  <si>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</si>
  <si>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</si>
  <si>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</si>
  <si>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</si>
  <si>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</si>
  <si>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</si>
  <si>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</si>
  <si>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</si>
  <si>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</si>
  <si>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</si>
  <si>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</si>
  <si>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</si>
  <si>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</si>
  <si>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</si>
  <si>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</si>
  <si>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</si>
  <si>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</si>
  <si>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</si>
  <si>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</si>
  <si>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</si>
  <si>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</si>
  <si>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</si>
  <si>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</si>
  <si>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</si>
  <si>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</si>
  <si>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</si>
  <si>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</si>
  <si>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</si>
  <si>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</si>
  <si>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</si>
  <si>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</si>
  <si>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</si>
  <si>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</si>
  <si>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</si>
  <si>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</si>
  <si>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</si>
  <si>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</si>
  <si>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</si>
  <si>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</si>
  <si>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</si>
  <si>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</si>
  <si>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</si>
  <si>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</si>
  <si>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</si>
  <si>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</si>
  <si>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</si>
  <si>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</si>
  <si>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</si>
  <si>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</si>
  <si>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</si>
  <si>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</si>
  <si>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</si>
  <si>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</si>
  <si>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</si>
  <si>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</si>
  <si>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</si>
  <si>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</si>
  <si>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</si>
  <si>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</si>
  <si>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</si>
  <si>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</si>
  <si>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</si>
  <si>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</si>
  <si>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</si>
  <si>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</si>
  <si>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</si>
  <si>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</si>
  <si>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</si>
  <si>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</si>
  <si>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</si>
  <si>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</si>
  <si>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</si>
  <si>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</si>
  <si>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</si>
  <si>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</si>
  <si>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</si>
  <si>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</si>
  <si>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</si>
  <si>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</si>
  <si>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</si>
  <si>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</si>
  <si>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</si>
  <si>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</si>
  <si>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</si>
  <si>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</si>
  <si>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</si>
  <si>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</si>
  <si>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</si>
  <si>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</si>
  <si>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</si>
  <si>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</si>
  <si>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</si>
  <si>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</si>
  <si>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</si>
  <si>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</si>
  <si>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</si>
  <si>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</si>
  <si>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</si>
  <si>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</si>
  <si>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</si>
  <si>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</si>
  <si>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</si>
  <si>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</si>
  <si>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</si>
  <si>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</si>
  <si>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</si>
  <si>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</si>
  <si>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</si>
  <si>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</si>
  <si>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</si>
  <si>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</si>
  <si>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</si>
  <si>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</si>
  <si>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</si>
  <si>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</si>
  <si>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</si>
  <si>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</si>
  <si>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</si>
  <si>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</si>
  <si>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</si>
  <si>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</si>
  <si>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</si>
  <si>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</si>
  <si>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</si>
  <si>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</si>
  <si>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</si>
  <si>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</si>
  <si>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</si>
  <si>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</si>
  <si>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</si>
  <si>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</si>
  <si>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</si>
  <si>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</si>
  <si>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</si>
  <si>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</si>
  <si>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</si>
  <si>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</si>
  <si>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</si>
  <si>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</si>
  <si>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</si>
  <si>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</si>
  <si>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</si>
  <si>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</si>
  <si>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</si>
  <si>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</si>
  <si>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</si>
  <si>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</si>
  <si>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</si>
  <si>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</si>
  <si>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</si>
  <si>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</si>
  <si>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</si>
  <si>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</si>
  <si>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</si>
  <si>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</si>
  <si>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</si>
  <si>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</si>
  <si>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</si>
  <si>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</si>
  <si>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</si>
  <si>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</si>
  <si>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</si>
  <si>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</si>
  <si>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</si>
  <si>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</si>
  <si>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</si>
  <si>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</si>
  <si>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</si>
  <si>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</si>
  <si>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</si>
  <si>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</si>
  <si>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</si>
  <si>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</si>
  <si>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</si>
  <si>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</si>
  <si>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</si>
  <si>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</si>
  <si>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</si>
  <si>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</si>
  <si>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</si>
  <si>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</si>
  <si>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</si>
  <si>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</si>
  <si>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</si>
  <si>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</si>
  <si>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</si>
  <si>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</si>
  <si>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</si>
  <si>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</si>
  <si>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</si>
  <si>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</si>
  <si>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</si>
  <si>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</si>
  <si>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</si>
  <si>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</si>
  <si>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</si>
  <si>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</si>
  <si>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</si>
  <si>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</si>
  <si>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</si>
  <si>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</si>
  <si>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</si>
  <si>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</si>
  <si>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</si>
  <si>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</si>
  <si>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</si>
  <si>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</si>
  <si>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</si>
  <si>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</si>
  <si>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</si>
  <si>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</si>
  <si>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</si>
  <si>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</si>
  <si>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</si>
  <si>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</si>
  <si>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</si>
  <si>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</si>
  <si>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</si>
  <si>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</si>
  <si>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</si>
  <si>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</si>
  <si>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</si>
  <si>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</si>
  <si>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</si>
  <si>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</si>
  <si>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</si>
  <si>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</si>
  <si>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</si>
  <si>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</si>
  <si>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</si>
  <si>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</si>
  <si>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</si>
  <si>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</si>
  <si>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</si>
  <si>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</si>
  <si>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</si>
  <si>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</si>
  <si>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</si>
  <si>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</si>
  <si>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</si>
  <si>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</si>
  <si>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</si>
  <si>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</si>
  <si>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</si>
  <si>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</si>
  <si>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</si>
  <si>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</si>
  <si>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</si>
  <si>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</si>
  <si>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HARRISVILLE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</si>
</sst>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0" fontId="2" fillId="0" borderId="0" xfId="0" applyNumberFormat="1" applyFont="1" applyProtection="1">
      <protection locked="0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93" zoomScaleNormal="93" workbookViewId="0">
      <pane xSplit="5" ySplit="3" topLeftCell="F601" activePane="bottomRight" state="frozen"/>
      <selection pane="topRight" activeCell="F1" sqref="F1"/>
      <selection pane="bottomLeft" activeCell="A4" sqref="A4"/>
      <selection pane="bottomRight" activeCell="H154" sqref="H154:H1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235</v>
      </c>
      <c r="C2" s="21">
        <v>235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-41243.09-15666.5</f>
        <v>-56909.59</v>
      </c>
      <c r="G9" s="18"/>
      <c r="H9" s="18">
        <f>882.23+32573.51+500</f>
        <v>33955.74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120832.21</v>
      </c>
      <c r="G10" s="18"/>
      <c r="H10" s="18"/>
      <c r="I10" s="18"/>
      <c r="J10" s="67">
        <f>SUM(I440)</f>
        <v>250597.53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120.1+38683.04</f>
        <v>38803.14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54431.26</v>
      </c>
      <c r="G13" s="18">
        <v>834.5</v>
      </c>
      <c r="H13" s="18">
        <v>47624.44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257.89</v>
      </c>
      <c r="G14" s="18">
        <v>56.3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157414.91000000003</v>
      </c>
      <c r="G19" s="41">
        <f>SUM(G9:G18)</f>
        <v>890.8</v>
      </c>
      <c r="H19" s="41">
        <f>SUM(H9:H18)</f>
        <v>81580.179999999993</v>
      </c>
      <c r="I19" s="41">
        <f>SUM(I9:I18)</f>
        <v>0</v>
      </c>
      <c r="J19" s="41">
        <f>SUM(J9:J18)</f>
        <v>250597.53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120.1</v>
      </c>
      <c r="H22" s="18">
        <v>38683.040000000001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364.08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6481.06</v>
      </c>
      <c r="G24" s="18"/>
      <c r="H24" s="18">
        <v>4982.96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4817.3999999999996</v>
      </c>
      <c r="G28" s="18">
        <v>531.29999999999995</v>
      </c>
      <c r="H28" s="18">
        <f>3958.44+543.04</f>
        <v>4501.4799999999996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239.4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11662.54</v>
      </c>
      <c r="G32" s="41">
        <f>SUM(G22:G31)</f>
        <v>890.8</v>
      </c>
      <c r="H32" s="41">
        <f>SUM(H22:H31)</f>
        <v>48167.479999999996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>
        <v>882.23</v>
      </c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22262.5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32530.47</v>
      </c>
      <c r="I48" s="18"/>
      <c r="J48" s="13">
        <f>SUM(I459)</f>
        <v>250597.53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48489.87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145752.37</v>
      </c>
      <c r="G51" s="41">
        <f>SUM(G35:G50)</f>
        <v>0</v>
      </c>
      <c r="H51" s="41">
        <f>SUM(H35:H50)</f>
        <v>33412.700000000004</v>
      </c>
      <c r="I51" s="41">
        <f>SUM(I35:I50)</f>
        <v>0</v>
      </c>
      <c r="J51" s="41">
        <f>SUM(J35:J50)</f>
        <v>250597.53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157414.91</v>
      </c>
      <c r="G52" s="41">
        <f>G51+G32</f>
        <v>890.8</v>
      </c>
      <c r="H52" s="41">
        <f>H51+H32</f>
        <v>81580.179999999993</v>
      </c>
      <c r="I52" s="41">
        <f>I51+I32</f>
        <v>0</v>
      </c>
      <c r="J52" s="41">
        <f>J51+J32</f>
        <v>250597.53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1248170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1248170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>
        <f>18026.12+28847.45</f>
        <v>46873.57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>
        <v>4354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39249.910000000003</v>
      </c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39249.910000000003</v>
      </c>
      <c r="G79" s="45" t="s">
        <v>289</v>
      </c>
      <c r="H79" s="41">
        <f>SUM(H63:H78)</f>
        <v>51227.57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147.88</v>
      </c>
      <c r="G96" s="18"/>
      <c r="H96" s="18"/>
      <c r="I96" s="18"/>
      <c r="J96" s="18">
        <v>63.64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5483.9+2374.55+1032.15+533.55+30</f>
        <v>9454.15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1000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46652.22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19901.32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2489.43+1091.52</f>
        <v>3580.95</v>
      </c>
      <c r="G110" s="18"/>
      <c r="H110" s="18">
        <v>2076.25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70282.37</v>
      </c>
      <c r="G111" s="41">
        <f>SUM(G96:G110)</f>
        <v>9454.15</v>
      </c>
      <c r="H111" s="41">
        <f>SUM(H96:H110)</f>
        <v>3076.25</v>
      </c>
      <c r="I111" s="41">
        <f>SUM(I96:I110)</f>
        <v>0</v>
      </c>
      <c r="J111" s="41">
        <f>SUM(J96:J110)</f>
        <v>63.64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1357702.2799999998</v>
      </c>
      <c r="G112" s="41">
        <f>G60+G111</f>
        <v>9454.15</v>
      </c>
      <c r="H112" s="41">
        <f>H60+H79+H94+H111</f>
        <v>54303.82</v>
      </c>
      <c r="I112" s="41">
        <f>I60+I111</f>
        <v>0</v>
      </c>
      <c r="J112" s="41">
        <f>J60+J111</f>
        <v>63.64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13345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477481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490826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230.28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230.28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490826</v>
      </c>
      <c r="G140" s="41">
        <f>G121+SUM(G136:G137)</f>
        <v>230.28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f>2545.36+11215</f>
        <v>13760.36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301">
        <v>14.86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301">
        <v>204691.82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10762.19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22896.87+3123.97</f>
        <v>26020.84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7921.13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7921.13</v>
      </c>
      <c r="G162" s="41">
        <f>SUM(G150:G161)</f>
        <v>10762.19</v>
      </c>
      <c r="H162" s="41">
        <f>SUM(H150:H161)</f>
        <v>244487.88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7921.13</v>
      </c>
      <c r="G169" s="41">
        <f>G147+G162+SUM(G163:G168)</f>
        <v>10762.19</v>
      </c>
      <c r="H169" s="41">
        <f>H147+H162+SUM(H163:H168)</f>
        <v>244487.88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13207.56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13207.56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13207.56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1856449.4099999997</v>
      </c>
      <c r="G193" s="47">
        <f>G112+G140+G169+G192</f>
        <v>33654.18</v>
      </c>
      <c r="H193" s="47">
        <f>H112+H140+H169+H192</f>
        <v>298791.7</v>
      </c>
      <c r="I193" s="47">
        <f>I112+I140+I169+I192</f>
        <v>0</v>
      </c>
      <c r="J193" s="47">
        <f>J112+J140+J192</f>
        <v>63.64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310508.25</v>
      </c>
      <c r="G197" s="18">
        <v>103190.06</v>
      </c>
      <c r="H197" s="18">
        <v>5237</v>
      </c>
      <c r="I197" s="18">
        <v>7845.83</v>
      </c>
      <c r="J197" s="18">
        <v>15120.53</v>
      </c>
      <c r="K197" s="18">
        <v>616.47</v>
      </c>
      <c r="L197" s="19">
        <f>SUM(F197:K197)</f>
        <v>442518.14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63576.36</v>
      </c>
      <c r="G198" s="18">
        <v>22021.61</v>
      </c>
      <c r="H198" s="18">
        <f>3246.59</f>
        <v>3246.59</v>
      </c>
      <c r="I198" s="18">
        <v>344.23</v>
      </c>
      <c r="J198" s="18">
        <v>959.97</v>
      </c>
      <c r="K198" s="18"/>
      <c r="L198" s="19">
        <f>SUM(F198:K198)</f>
        <v>90148.76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720+135</f>
        <v>855</v>
      </c>
      <c r="G200" s="18">
        <f>142.89+10.85</f>
        <v>153.73999999999998</v>
      </c>
      <c r="H200" s="18"/>
      <c r="I200" s="18">
        <v>311.82</v>
      </c>
      <c r="J200" s="18"/>
      <c r="K200" s="18">
        <v>100</v>
      </c>
      <c r="L200" s="19">
        <f>SUM(F200:K200)</f>
        <v>1420.56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29305.64+10949.9</f>
        <v>40255.54</v>
      </c>
      <c r="G202" s="18">
        <f>2356.12+880.36</f>
        <v>3236.48</v>
      </c>
      <c r="H202" s="18">
        <f>2246+8875+10520.92+17255+6117.93</f>
        <v>45014.85</v>
      </c>
      <c r="I202" s="18">
        <f>426.59+337.49+458.98+356.75</f>
        <v>1579.81</v>
      </c>
      <c r="J202" s="18"/>
      <c r="K202" s="18"/>
      <c r="L202" s="19">
        <f t="shared" ref="L202:L208" si="0">SUM(F202:K202)</f>
        <v>90086.68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841.4+11648.59</f>
        <v>12489.99</v>
      </c>
      <c r="G203" s="18">
        <f>82.34+936.42</f>
        <v>1018.76</v>
      </c>
      <c r="H203" s="18">
        <f>2477+391.25</f>
        <v>2868.25</v>
      </c>
      <c r="I203" s="18">
        <f>290.36+2395.61</f>
        <v>2685.9700000000003</v>
      </c>
      <c r="J203" s="18"/>
      <c r="K203" s="18">
        <v>499</v>
      </c>
      <c r="L203" s="19">
        <f t="shared" si="0"/>
        <v>19561.97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2778.75+2000</f>
        <v>4778.75</v>
      </c>
      <c r="G204" s="18">
        <f>223.16+160.4</f>
        <v>383.56</v>
      </c>
      <c r="H204" s="18">
        <f>2963.37+250+5750+360+250+119159</f>
        <v>128732.37</v>
      </c>
      <c r="I204" s="18">
        <v>541.29999999999995</v>
      </c>
      <c r="J204" s="18"/>
      <c r="K204" s="18">
        <v>2525.5</v>
      </c>
      <c r="L204" s="19">
        <f t="shared" si="0"/>
        <v>136961.47999999998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93712.4</f>
        <v>93712.4</v>
      </c>
      <c r="G205" s="18">
        <v>46328.43</v>
      </c>
      <c r="H205" s="18">
        <v>10800.19</v>
      </c>
      <c r="I205" s="18">
        <f>684.72+106.14</f>
        <v>790.86</v>
      </c>
      <c r="J205" s="18"/>
      <c r="K205" s="18">
        <v>114</v>
      </c>
      <c r="L205" s="19">
        <f t="shared" si="0"/>
        <v>151745.87999999998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40055.84</f>
        <v>40055.839999999997</v>
      </c>
      <c r="G207" s="18">
        <v>27207.47</v>
      </c>
      <c r="H207" s="18">
        <v>40981.97</v>
      </c>
      <c r="I207" s="18">
        <v>45180.1</v>
      </c>
      <c r="J207" s="18">
        <v>951.85</v>
      </c>
      <c r="K207" s="18"/>
      <c r="L207" s="19">
        <f t="shared" si="0"/>
        <v>154377.23000000001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49481.4+16491</f>
        <v>65972.399999999994</v>
      </c>
      <c r="I208" s="18"/>
      <c r="J208" s="18"/>
      <c r="K208" s="18"/>
      <c r="L208" s="19">
        <f t="shared" si="0"/>
        <v>65972.399999999994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256.64</v>
      </c>
      <c r="H209" s="18">
        <v>728</v>
      </c>
      <c r="I209" s="18"/>
      <c r="J209" s="18"/>
      <c r="K209" s="18"/>
      <c r="L209" s="19">
        <f>SUM(F209:K209)</f>
        <v>984.64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566232.12999999989</v>
      </c>
      <c r="G211" s="41">
        <f t="shared" si="1"/>
        <v>203796.75</v>
      </c>
      <c r="H211" s="41">
        <f t="shared" si="1"/>
        <v>303581.62</v>
      </c>
      <c r="I211" s="41">
        <f t="shared" si="1"/>
        <v>59279.92</v>
      </c>
      <c r="J211" s="41">
        <f t="shared" si="1"/>
        <v>17032.349999999999</v>
      </c>
      <c r="K211" s="41">
        <f t="shared" si="1"/>
        <v>3854.9700000000003</v>
      </c>
      <c r="L211" s="41">
        <f t="shared" si="1"/>
        <v>1153777.74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98240.37</v>
      </c>
      <c r="I215" s="18"/>
      <c r="J215" s="18"/>
      <c r="K215" s="18"/>
      <c r="L215" s="19">
        <f>SUM(F215:K215)</f>
        <v>98240.37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114676.98</v>
      </c>
      <c r="I216" s="18"/>
      <c r="J216" s="18"/>
      <c r="K216" s="18"/>
      <c r="L216" s="19">
        <f>SUM(F216:K216)</f>
        <v>114676.98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16494</v>
      </c>
      <c r="I226" s="18"/>
      <c r="J226" s="18"/>
      <c r="K226" s="18"/>
      <c r="L226" s="19">
        <f t="shared" si="2"/>
        <v>16494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229411.34999999998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229411.34999999998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249081</v>
      </c>
      <c r="I233" s="18"/>
      <c r="J233" s="18"/>
      <c r="K233" s="18"/>
      <c r="L233" s="19">
        <f>SUM(F233:K233)</f>
        <v>249081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95504</v>
      </c>
      <c r="I234" s="18"/>
      <c r="J234" s="18"/>
      <c r="K234" s="18"/>
      <c r="L234" s="19">
        <f>SUM(F234:K234)</f>
        <v>95504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16494</v>
      </c>
      <c r="I244" s="18"/>
      <c r="J244" s="18"/>
      <c r="K244" s="18"/>
      <c r="L244" s="19">
        <f t="shared" si="4"/>
        <v>16494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361079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361079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566232.12999999989</v>
      </c>
      <c r="G257" s="41">
        <f t="shared" si="8"/>
        <v>203796.75</v>
      </c>
      <c r="H257" s="41">
        <f t="shared" si="8"/>
        <v>894071.97</v>
      </c>
      <c r="I257" s="41">
        <f t="shared" si="8"/>
        <v>59279.92</v>
      </c>
      <c r="J257" s="41">
        <f t="shared" si="8"/>
        <v>17032.349999999999</v>
      </c>
      <c r="K257" s="41">
        <f t="shared" si="8"/>
        <v>3854.9700000000003</v>
      </c>
      <c r="L257" s="41">
        <f t="shared" si="8"/>
        <v>1744268.0899999999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13207.56</v>
      </c>
      <c r="L263" s="19">
        <f>SUM(F263:K263)</f>
        <v>13207.56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13207.56</v>
      </c>
      <c r="L270" s="41">
        <f t="shared" si="9"/>
        <v>13207.56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566232.12999999989</v>
      </c>
      <c r="G271" s="42">
        <f t="shared" si="11"/>
        <v>203796.75</v>
      </c>
      <c r="H271" s="42">
        <f t="shared" si="11"/>
        <v>894071.97</v>
      </c>
      <c r="I271" s="42">
        <f t="shared" si="11"/>
        <v>59279.92</v>
      </c>
      <c r="J271" s="42">
        <f t="shared" si="11"/>
        <v>17032.349999999999</v>
      </c>
      <c r="K271" s="42">
        <f t="shared" si="11"/>
        <v>17062.53</v>
      </c>
      <c r="L271" s="42">
        <f t="shared" si="11"/>
        <v>1757475.65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4180+4664.96+20948.14+21636.69+32613.16+0.08+123+71.63+4122.89</f>
        <v>88360.55</v>
      </c>
      <c r="G276" s="18">
        <f>334.17+18.03+1959.36+99.87+4150.16+211.63+0.46+14.88+0.76+315.42+16.06</f>
        <v>7120.8000000000011</v>
      </c>
      <c r="H276" s="18"/>
      <c r="I276" s="18">
        <f>259.19+2545.36+4622.12+210+117.77+4630.08+10734.54</f>
        <v>23119.06</v>
      </c>
      <c r="J276" s="18">
        <f>1801.49+5846.47+1300.5+1825.23</f>
        <v>10773.689999999999</v>
      </c>
      <c r="K276" s="18"/>
      <c r="L276" s="19">
        <f>SUM(F276:K276)</f>
        <v>129374.1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12883.28+1797.35</f>
        <v>14680.630000000001</v>
      </c>
      <c r="G277" s="18">
        <f>6128.44+763.43+355.69+44.31+60.82+7.58+53.57+7.01+1103.79+137.5+1553.96+193.58+57.04+7.55</f>
        <v>10474.269999999999</v>
      </c>
      <c r="H277" s="18"/>
      <c r="I277" s="18"/>
      <c r="J277" s="18"/>
      <c r="K277" s="18"/>
      <c r="L277" s="19">
        <f>SUM(F277:K277)</f>
        <v>25154.9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2315.5+7404</f>
        <v>9719.5</v>
      </c>
      <c r="G279" s="18">
        <f>743.53+36.77</f>
        <v>780.3</v>
      </c>
      <c r="H279" s="18">
        <f>1270.41+3392+3497.99</f>
        <v>8160.4</v>
      </c>
      <c r="I279" s="18">
        <v>1252.2</v>
      </c>
      <c r="J279" s="18"/>
      <c r="K279" s="18">
        <v>2427.69</v>
      </c>
      <c r="L279" s="19">
        <f>SUM(F279:K279)</f>
        <v>22340.089999999997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1200+124.12+303.88</f>
        <v>1628</v>
      </c>
      <c r="G282" s="18">
        <f>91.8+135.92+4.7+9.5+0.49+23.25+1.22</f>
        <v>266.88</v>
      </c>
      <c r="H282" s="18">
        <f>480.07+375.92+480.07+920.38+77.51+155.16+142.35+379.93</f>
        <v>3011.39</v>
      </c>
      <c r="I282" s="18">
        <f>446.72</f>
        <v>446.72</v>
      </c>
      <c r="J282" s="18"/>
      <c r="K282" s="18"/>
      <c r="L282" s="19">
        <f t="shared" si="12"/>
        <v>5352.9900000000007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f>14499.89+35500.11</f>
        <v>50000</v>
      </c>
      <c r="G283" s="18">
        <f>5395.73+188.48+19.8+53.59+1070.65+2053.22+56+13211.27+461.51+48.6+131.4+2620.85+5026.84+137.46</f>
        <v>30475.399999999994</v>
      </c>
      <c r="H283" s="18">
        <f>850.9+2083.24+135.38+92.34+331.47+226.07</f>
        <v>3719.4</v>
      </c>
      <c r="I283" s="18">
        <f>500+500</f>
        <v>1000</v>
      </c>
      <c r="J283" s="18"/>
      <c r="K283" s="18">
        <f>20.88+51.12</f>
        <v>72</v>
      </c>
      <c r="L283" s="19">
        <f t="shared" si="12"/>
        <v>85266.799999999988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f>172.36+14.86+120.26+700.28+165.66+5660.85</f>
        <v>6834.27</v>
      </c>
      <c r="L285" s="19">
        <f t="shared" si="12"/>
        <v>6834.27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f>2100+1200</f>
        <v>3300</v>
      </c>
      <c r="I287" s="18"/>
      <c r="J287" s="18"/>
      <c r="K287" s="18"/>
      <c r="L287" s="19">
        <f t="shared" si="12"/>
        <v>3300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164388.68</v>
      </c>
      <c r="G290" s="42">
        <f t="shared" si="13"/>
        <v>49117.649999999994</v>
      </c>
      <c r="H290" s="42">
        <f t="shared" si="13"/>
        <v>18191.189999999999</v>
      </c>
      <c r="I290" s="42">
        <f t="shared" si="13"/>
        <v>25817.980000000003</v>
      </c>
      <c r="J290" s="42">
        <f t="shared" si="13"/>
        <v>10773.689999999999</v>
      </c>
      <c r="K290" s="42">
        <f t="shared" si="13"/>
        <v>9333.9600000000009</v>
      </c>
      <c r="L290" s="41">
        <f t="shared" si="13"/>
        <v>277623.15000000002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164388.68</v>
      </c>
      <c r="G338" s="41">
        <f t="shared" si="20"/>
        <v>49117.649999999994</v>
      </c>
      <c r="H338" s="41">
        <f t="shared" si="20"/>
        <v>18191.189999999999</v>
      </c>
      <c r="I338" s="41">
        <f t="shared" si="20"/>
        <v>25817.980000000003</v>
      </c>
      <c r="J338" s="41">
        <f t="shared" si="20"/>
        <v>10773.689999999999</v>
      </c>
      <c r="K338" s="41">
        <f t="shared" si="20"/>
        <v>9333.9600000000009</v>
      </c>
      <c r="L338" s="41">
        <f t="shared" si="20"/>
        <v>277623.15000000002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164388.68</v>
      </c>
      <c r="G352" s="41">
        <f>G338</f>
        <v>49117.649999999994</v>
      </c>
      <c r="H352" s="41">
        <f>H338</f>
        <v>18191.189999999999</v>
      </c>
      <c r="I352" s="41">
        <f>I338</f>
        <v>25817.980000000003</v>
      </c>
      <c r="J352" s="41">
        <f>J338</f>
        <v>10773.689999999999</v>
      </c>
      <c r="K352" s="47">
        <f>K338+K351</f>
        <v>9333.9600000000009</v>
      </c>
      <c r="L352" s="41">
        <f>L338+L351</f>
        <v>277623.15000000002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14035.99</v>
      </c>
      <c r="G358" s="18">
        <f>1073.74+54.73</f>
        <v>1128.47</v>
      </c>
      <c r="H358" s="18">
        <f>4825+631.75+311.88</f>
        <v>5768.63</v>
      </c>
      <c r="I358" s="18">
        <f>1117.18+11409.84</f>
        <v>12527.02</v>
      </c>
      <c r="J358" s="18">
        <v>194.07</v>
      </c>
      <c r="K358" s="18"/>
      <c r="L358" s="13">
        <f>SUM(F358:K358)</f>
        <v>33654.18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14035.99</v>
      </c>
      <c r="G362" s="47">
        <f t="shared" si="22"/>
        <v>1128.47</v>
      </c>
      <c r="H362" s="47">
        <f t="shared" si="22"/>
        <v>5768.63</v>
      </c>
      <c r="I362" s="47">
        <f t="shared" si="22"/>
        <v>12527.02</v>
      </c>
      <c r="J362" s="47">
        <f t="shared" si="22"/>
        <v>194.07</v>
      </c>
      <c r="K362" s="47">
        <f t="shared" si="22"/>
        <v>0</v>
      </c>
      <c r="L362" s="47">
        <f t="shared" si="22"/>
        <v>33654.18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11409.84</v>
      </c>
      <c r="G367" s="18"/>
      <c r="H367" s="18"/>
      <c r="I367" s="56">
        <f>SUM(F367:H367)</f>
        <v>11409.84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1117.18</v>
      </c>
      <c r="G368" s="63"/>
      <c r="H368" s="63"/>
      <c r="I368" s="56">
        <f>SUM(F368:H368)</f>
        <v>1117.18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12527.02</v>
      </c>
      <c r="G369" s="47">
        <f>SUM(G367:G368)</f>
        <v>0</v>
      </c>
      <c r="H369" s="47">
        <f>SUM(H367:H368)</f>
        <v>0</v>
      </c>
      <c r="I369" s="47">
        <f>SUM(I367:I368)</f>
        <v>12527.02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36.57</v>
      </c>
      <c r="I389" s="18"/>
      <c r="J389" s="24" t="s">
        <v>289</v>
      </c>
      <c r="K389" s="24" t="s">
        <v>289</v>
      </c>
      <c r="L389" s="56">
        <f t="shared" si="25"/>
        <v>36.57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36.57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36.57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27.07</v>
      </c>
      <c r="I398" s="18"/>
      <c r="J398" s="24" t="s">
        <v>289</v>
      </c>
      <c r="K398" s="24" t="s">
        <v>289</v>
      </c>
      <c r="L398" s="56">
        <f t="shared" si="26"/>
        <v>27.07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27.07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27.07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63.64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63.64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143978.53</v>
      </c>
      <c r="G440" s="18">
        <v>106619</v>
      </c>
      <c r="H440" s="18"/>
      <c r="I440" s="56">
        <f t="shared" si="33"/>
        <v>250597.53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143978.53</v>
      </c>
      <c r="G446" s="13">
        <f>SUM(G439:G445)</f>
        <v>106619</v>
      </c>
      <c r="H446" s="13">
        <f>SUM(H439:H445)</f>
        <v>0</v>
      </c>
      <c r="I446" s="13">
        <f>SUM(I439:I445)</f>
        <v>250597.53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143978.53</v>
      </c>
      <c r="G459" s="18">
        <v>106619</v>
      </c>
      <c r="H459" s="18"/>
      <c r="I459" s="56">
        <f t="shared" si="34"/>
        <v>250597.53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143978.53</v>
      </c>
      <c r="G460" s="83">
        <f>SUM(G454:G459)</f>
        <v>106619</v>
      </c>
      <c r="H460" s="83">
        <f>SUM(H454:H459)</f>
        <v>0</v>
      </c>
      <c r="I460" s="83">
        <f>SUM(I454:I459)</f>
        <v>250597.53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143978.53</v>
      </c>
      <c r="G461" s="42">
        <f>G452+G460</f>
        <v>106619</v>
      </c>
      <c r="H461" s="42">
        <f>H452+H460</f>
        <v>0</v>
      </c>
      <c r="I461" s="42">
        <f>I452+I460</f>
        <v>250597.53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46778.61</v>
      </c>
      <c r="G465" s="18"/>
      <c r="H465" s="18">
        <v>12244.15</v>
      </c>
      <c r="I465" s="18"/>
      <c r="J465" s="18">
        <v>250533.89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1856449.41</v>
      </c>
      <c r="G468" s="18">
        <v>33654.18</v>
      </c>
      <c r="H468" s="18">
        <f>244487.88+1000+53303.82</f>
        <v>298791.7</v>
      </c>
      <c r="I468" s="18">
        <v>0</v>
      </c>
      <c r="J468" s="18">
        <f>36.57+27.07</f>
        <v>63.64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1856449.41</v>
      </c>
      <c r="G470" s="53">
        <f>SUM(G468:G469)</f>
        <v>33654.18</v>
      </c>
      <c r="H470" s="53">
        <f>SUM(H468:H469)</f>
        <v>298791.7</v>
      </c>
      <c r="I470" s="53">
        <f>SUM(I468:I469)</f>
        <v>0</v>
      </c>
      <c r="J470" s="53">
        <f>SUM(J468:J469)</f>
        <v>63.64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1757475.65</v>
      </c>
      <c r="G472" s="18">
        <v>33654.18</v>
      </c>
      <c r="H472" s="18">
        <f>1270.41+276352.74</f>
        <v>277623.14999999997</v>
      </c>
      <c r="I472" s="18">
        <v>0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1757475.65</v>
      </c>
      <c r="G474" s="53">
        <f>SUM(G472:G473)</f>
        <v>33654.18</v>
      </c>
      <c r="H474" s="53">
        <f>SUM(H472:H473)</f>
        <v>277623.14999999997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145752.37000000011</v>
      </c>
      <c r="G476" s="53">
        <f>(G465+G470)- G474</f>
        <v>0</v>
      </c>
      <c r="H476" s="53">
        <f>(H465+H470)- H474</f>
        <v>33412.70000000007</v>
      </c>
      <c r="I476" s="53">
        <f>(I465+I470)- I474</f>
        <v>0</v>
      </c>
      <c r="J476" s="53">
        <f>(J465+J470)- J474</f>
        <v>250597.53000000003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33805.28+29771.08+12883.28+1797.35</f>
        <v>78256.990000000005</v>
      </c>
      <c r="G521" s="18">
        <f>13782.79+550.19+80.86+87.06+4648.87+2632.94+238.9+6128.44+763.43+355.69+44.31+60.82+7.58+53.57+7.01+1103.79+137.5+1553.96+193.58+57.04+7.55</f>
        <v>32495.88</v>
      </c>
      <c r="H521" s="18">
        <v>3246.59</v>
      </c>
      <c r="I521" s="18">
        <f>97.28+146.96+99.99</f>
        <v>344.23</v>
      </c>
      <c r="J521" s="18">
        <v>959.97</v>
      </c>
      <c r="K521" s="18"/>
      <c r="L521" s="88">
        <f>SUM(F521:K521)</f>
        <v>115303.66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114676.98</v>
      </c>
      <c r="I522" s="18"/>
      <c r="J522" s="18"/>
      <c r="K522" s="18"/>
      <c r="L522" s="88">
        <f>SUM(F522:K522)</f>
        <v>114676.98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95504</v>
      </c>
      <c r="I523" s="18"/>
      <c r="J523" s="18"/>
      <c r="K523" s="18"/>
      <c r="L523" s="88">
        <f>SUM(F523:K523)</f>
        <v>95504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78256.990000000005</v>
      </c>
      <c r="G524" s="108">
        <f t="shared" ref="G524:L524" si="36">SUM(G521:G523)</f>
        <v>32495.88</v>
      </c>
      <c r="H524" s="108">
        <f t="shared" si="36"/>
        <v>213427.57</v>
      </c>
      <c r="I524" s="108">
        <f t="shared" si="36"/>
        <v>344.23</v>
      </c>
      <c r="J524" s="108">
        <f t="shared" si="36"/>
        <v>959.97</v>
      </c>
      <c r="K524" s="108">
        <f t="shared" si="36"/>
        <v>0</v>
      </c>
      <c r="L524" s="89">
        <f t="shared" si="36"/>
        <v>325484.64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1746+8875+10520.92+17255+6117.93+391.25</f>
        <v>44906.1</v>
      </c>
      <c r="I526" s="18">
        <f>458.98+356.75</f>
        <v>815.73</v>
      </c>
      <c r="J526" s="18"/>
      <c r="K526" s="18"/>
      <c r="L526" s="88">
        <f>SUM(F526:K526)</f>
        <v>45721.83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44906.1</v>
      </c>
      <c r="I529" s="89">
        <f t="shared" si="37"/>
        <v>815.73</v>
      </c>
      <c r="J529" s="89">
        <f t="shared" si="37"/>
        <v>0</v>
      </c>
      <c r="K529" s="89">
        <f t="shared" si="37"/>
        <v>0</v>
      </c>
      <c r="L529" s="89">
        <f t="shared" si="37"/>
        <v>45721.83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12552</v>
      </c>
      <c r="I531" s="18"/>
      <c r="J531" s="18"/>
      <c r="K531" s="18">
        <v>865.94</v>
      </c>
      <c r="L531" s="88">
        <f>SUM(F531:K531)</f>
        <v>13417.94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12552</v>
      </c>
      <c r="I534" s="89">
        <f t="shared" si="38"/>
        <v>0</v>
      </c>
      <c r="J534" s="89">
        <f t="shared" si="38"/>
        <v>0</v>
      </c>
      <c r="K534" s="89">
        <f t="shared" si="38"/>
        <v>865.94</v>
      </c>
      <c r="L534" s="89">
        <f t="shared" si="38"/>
        <v>13417.94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78256.990000000005</v>
      </c>
      <c r="G545" s="89">
        <f t="shared" ref="G545:L545" si="41">G524+G529+G534+G539+G544</f>
        <v>32495.88</v>
      </c>
      <c r="H545" s="89">
        <f t="shared" si="41"/>
        <v>270885.67000000004</v>
      </c>
      <c r="I545" s="89">
        <f t="shared" si="41"/>
        <v>1159.96</v>
      </c>
      <c r="J545" s="89">
        <f t="shared" si="41"/>
        <v>959.97</v>
      </c>
      <c r="K545" s="89">
        <f t="shared" si="41"/>
        <v>865.94</v>
      </c>
      <c r="L545" s="89">
        <f t="shared" si="41"/>
        <v>384624.41000000003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115303.66</v>
      </c>
      <c r="G549" s="87">
        <f>L526</f>
        <v>45721.83</v>
      </c>
      <c r="H549" s="87">
        <f>L531</f>
        <v>13417.94</v>
      </c>
      <c r="I549" s="87">
        <f>L536</f>
        <v>0</v>
      </c>
      <c r="J549" s="87">
        <f>L541</f>
        <v>0</v>
      </c>
      <c r="K549" s="87">
        <f>SUM(F549:J549)</f>
        <v>174443.43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114676.98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114676.98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95504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95504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325484.64</v>
      </c>
      <c r="G552" s="89">
        <f t="shared" si="42"/>
        <v>45721.83</v>
      </c>
      <c r="H552" s="89">
        <f t="shared" si="42"/>
        <v>13417.94</v>
      </c>
      <c r="I552" s="89">
        <f t="shared" si="42"/>
        <v>0</v>
      </c>
      <c r="J552" s="89">
        <f t="shared" si="42"/>
        <v>0</v>
      </c>
      <c r="K552" s="89">
        <f t="shared" si="42"/>
        <v>384624.41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98240.37</v>
      </c>
      <c r="H575" s="18">
        <v>249081</v>
      </c>
      <c r="I575" s="87">
        <f>SUM(F575:H575)</f>
        <v>347321.37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114676.98</v>
      </c>
      <c r="H579" s="18">
        <v>95504</v>
      </c>
      <c r="I579" s="87">
        <f t="shared" si="47"/>
        <v>210180.97999999998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65972.399999999994</v>
      </c>
      <c r="I591" s="18">
        <v>16494</v>
      </c>
      <c r="J591" s="18">
        <v>16494</v>
      </c>
      <c r="K591" s="104">
        <f t="shared" ref="K591:K597" si="48">SUM(H591:J591)</f>
        <v>98960.4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65972.399999999994</v>
      </c>
      <c r="I598" s="108">
        <f>SUM(I591:I597)</f>
        <v>16494</v>
      </c>
      <c r="J598" s="108">
        <f>SUM(J591:J597)</f>
        <v>16494</v>
      </c>
      <c r="K598" s="108">
        <f>SUM(K591:K597)</f>
        <v>98960.4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27806.04</v>
      </c>
      <c r="I604" s="18"/>
      <c r="J604" s="18"/>
      <c r="K604" s="104">
        <f>SUM(H604:J604)</f>
        <v>27806.04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27806.04</v>
      </c>
      <c r="I605" s="108">
        <f>SUM(I602:I604)</f>
        <v>0</v>
      </c>
      <c r="J605" s="108">
        <f>SUM(J602:J604)</f>
        <v>0</v>
      </c>
      <c r="K605" s="108">
        <f>SUM(K602:K604)</f>
        <v>27806.04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135+2315.5+7404</f>
        <v>9854.5</v>
      </c>
      <c r="G611" s="18">
        <f>10.33+0.52+743.53+36.77</f>
        <v>791.15</v>
      </c>
      <c r="H611" s="18"/>
      <c r="I611" s="18">
        <f>1252.2</f>
        <v>1252.2</v>
      </c>
      <c r="J611" s="18"/>
      <c r="K611" s="18">
        <v>2427.69</v>
      </c>
      <c r="L611" s="88">
        <f>SUM(F611:K611)</f>
        <v>14325.54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9854.5</v>
      </c>
      <c r="G614" s="108">
        <f t="shared" si="49"/>
        <v>791.15</v>
      </c>
      <c r="H614" s="108">
        <f t="shared" si="49"/>
        <v>0</v>
      </c>
      <c r="I614" s="108">
        <f t="shared" si="49"/>
        <v>1252.2</v>
      </c>
      <c r="J614" s="108">
        <f t="shared" si="49"/>
        <v>0</v>
      </c>
      <c r="K614" s="108">
        <f t="shared" si="49"/>
        <v>2427.69</v>
      </c>
      <c r="L614" s="89">
        <f t="shared" si="49"/>
        <v>14325.54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157414.91000000003</v>
      </c>
      <c r="H617" s="109">
        <f>SUM(F52)</f>
        <v>157414.91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890.8</v>
      </c>
      <c r="H618" s="109">
        <f>SUM(G52)</f>
        <v>890.8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81580.179999999993</v>
      </c>
      <c r="H619" s="109">
        <f>SUM(H52)</f>
        <v>81580.179999999993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250597.53</v>
      </c>
      <c r="H621" s="109">
        <f>SUM(J52)</f>
        <v>250597.53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145752.37</v>
      </c>
      <c r="H622" s="109">
        <f>F476</f>
        <v>145752.37000000011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33412.700000000004</v>
      </c>
      <c r="H624" s="109">
        <f>H476</f>
        <v>33412.70000000007</v>
      </c>
      <c r="I624" s="121" t="s">
        <v>103</v>
      </c>
      <c r="J624" s="109">
        <f t="shared" si="50"/>
        <v>-6.5483618527650833E-11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250597.53</v>
      </c>
      <c r="H626" s="109">
        <f>J476</f>
        <v>250597.53000000003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1856449.4099999997</v>
      </c>
      <c r="H627" s="104">
        <f>SUM(F468)</f>
        <v>1856449.41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33654.18</v>
      </c>
      <c r="H628" s="104">
        <f>SUM(G468)</f>
        <v>33654.18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298791.7</v>
      </c>
      <c r="H629" s="104">
        <f>SUM(H468)</f>
        <v>298791.7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63.64</v>
      </c>
      <c r="H631" s="104">
        <f>SUM(J468)</f>
        <v>63.64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1757475.65</v>
      </c>
      <c r="H632" s="104">
        <f>SUM(F472)</f>
        <v>1757475.65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277623.15000000002</v>
      </c>
      <c r="H633" s="104">
        <f>SUM(H472)</f>
        <v>277623.14999999997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12527.02</v>
      </c>
      <c r="H634" s="104">
        <f>I369</f>
        <v>12527.02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33654.18</v>
      </c>
      <c r="H635" s="104">
        <f>SUM(G472)</f>
        <v>33654.18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63.64</v>
      </c>
      <c r="H637" s="164">
        <f>SUM(J468)</f>
        <v>63.64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143978.53</v>
      </c>
      <c r="H639" s="104">
        <f>SUM(F461)</f>
        <v>143978.53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106619</v>
      </c>
      <c r="H640" s="104">
        <f>SUM(G461)</f>
        <v>106619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250597.53</v>
      </c>
      <c r="H642" s="104">
        <f>SUM(I461)</f>
        <v>250597.53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63.64</v>
      </c>
      <c r="H644" s="104">
        <f>H408</f>
        <v>63.64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63.64</v>
      </c>
      <c r="H646" s="104">
        <f>L408</f>
        <v>63.64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98960.4</v>
      </c>
      <c r="H647" s="104">
        <f>L208+L226+L244</f>
        <v>98960.4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27806.04</v>
      </c>
      <c r="H648" s="104">
        <f>(J257+J338)-(J255+J336)</f>
        <v>27806.039999999997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65972.399999999994</v>
      </c>
      <c r="H649" s="104">
        <f>H598</f>
        <v>65972.399999999994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16494</v>
      </c>
      <c r="H650" s="104">
        <f>I598</f>
        <v>16494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16494</v>
      </c>
      <c r="H651" s="104">
        <f>J598</f>
        <v>16494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13207.56</v>
      </c>
      <c r="H652" s="104">
        <f>K263+K345</f>
        <v>13207.56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1465055.07</v>
      </c>
      <c r="G660" s="19">
        <f>(L229+L309+L359)</f>
        <v>229411.34999999998</v>
      </c>
      <c r="H660" s="19">
        <f>(L247+L328+L360)</f>
        <v>361079</v>
      </c>
      <c r="I660" s="19">
        <f>SUM(F660:H660)</f>
        <v>2055545.42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9454.15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9454.15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69272.399999999994</v>
      </c>
      <c r="G662" s="19">
        <f>(L226+L306)-(J226+J306)</f>
        <v>16494</v>
      </c>
      <c r="H662" s="19">
        <f>(L244+L325)-(J244+J325)</f>
        <v>16494</v>
      </c>
      <c r="I662" s="19">
        <f>SUM(F662:H662)</f>
        <v>102260.4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42131.58</v>
      </c>
      <c r="G663" s="199">
        <f>SUM(G575:G587)+SUM(I602:I604)+L612</f>
        <v>212917.34999999998</v>
      </c>
      <c r="H663" s="199">
        <f>SUM(H575:H587)+SUM(J602:J604)+L613</f>
        <v>344585</v>
      </c>
      <c r="I663" s="19">
        <f>SUM(F663:H663)</f>
        <v>599633.92999999993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1344196.9400000002</v>
      </c>
      <c r="G664" s="19">
        <f>G660-SUM(G661:G663)</f>
        <v>0</v>
      </c>
      <c r="H664" s="19">
        <f>H660-SUM(H661:H663)</f>
        <v>0</v>
      </c>
      <c r="I664" s="19">
        <f>I660-SUM(I661:I663)</f>
        <v>1344196.94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48.09</v>
      </c>
      <c r="G665" s="248"/>
      <c r="H665" s="248"/>
      <c r="I665" s="19">
        <f>SUM(F665:H665)</f>
        <v>48.09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27951.69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27951.69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27951.69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27951.69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85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HARRISVILLE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398868.8</v>
      </c>
      <c r="C9" s="229">
        <f>'DOE25'!G197+'DOE25'!G215+'DOE25'!G233+'DOE25'!G276+'DOE25'!G295+'DOE25'!G314</f>
        <v>110310.86</v>
      </c>
    </row>
    <row r="10" spans="1:3" x14ac:dyDescent="0.2">
      <c r="A10" t="s">
        <v>779</v>
      </c>
      <c r="B10" s="240">
        <v>341061.61</v>
      </c>
      <c r="C10" s="240">
        <v>94323.8</v>
      </c>
    </row>
    <row r="11" spans="1:3" x14ac:dyDescent="0.2">
      <c r="A11" t="s">
        <v>780</v>
      </c>
      <c r="B11" s="240">
        <v>57807.19</v>
      </c>
      <c r="C11" s="240">
        <v>15987.06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398868.8</v>
      </c>
      <c r="C13" s="231">
        <f>SUM(C10:C12)</f>
        <v>110310.86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78256.990000000005</v>
      </c>
      <c r="C18" s="229">
        <f>'DOE25'!G198+'DOE25'!G216+'DOE25'!G234+'DOE25'!G277+'DOE25'!G296+'DOE25'!G315</f>
        <v>32495.879999999997</v>
      </c>
    </row>
    <row r="19" spans="1:3" x14ac:dyDescent="0.2">
      <c r="A19" t="s">
        <v>779</v>
      </c>
      <c r="B19" s="240">
        <v>33805.279999999999</v>
      </c>
      <c r="C19" s="240">
        <v>14037.5</v>
      </c>
    </row>
    <row r="20" spans="1:3" x14ac:dyDescent="0.2">
      <c r="A20" t="s">
        <v>780</v>
      </c>
      <c r="B20" s="240">
        <v>44451.71</v>
      </c>
      <c r="C20" s="240">
        <v>18458.38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78256.989999999991</v>
      </c>
      <c r="C22" s="231">
        <f>SUM(C19:C21)</f>
        <v>32495.88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10574.5</v>
      </c>
      <c r="C36" s="235">
        <f>'DOE25'!G200+'DOE25'!G218+'DOE25'!G236+'DOE25'!G279+'DOE25'!G298+'DOE25'!G317</f>
        <v>934.04</v>
      </c>
    </row>
    <row r="37" spans="1:3" x14ac:dyDescent="0.2">
      <c r="A37" t="s">
        <v>779</v>
      </c>
      <c r="B37" s="240">
        <v>3170.5</v>
      </c>
      <c r="C37" s="240">
        <v>280.05</v>
      </c>
    </row>
    <row r="38" spans="1:3" x14ac:dyDescent="0.2">
      <c r="A38" t="s">
        <v>780</v>
      </c>
      <c r="B38" s="240">
        <v>7404</v>
      </c>
      <c r="C38" s="240">
        <v>653.99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10574.5</v>
      </c>
      <c r="C40" s="231">
        <f>SUM(C37:C39)</f>
        <v>934.04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HARRISVILLE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1091589.81</v>
      </c>
      <c r="D5" s="20">
        <f>SUM('DOE25'!L197:L200)+SUM('DOE25'!L215:L218)+SUM('DOE25'!L233:L236)-F5-G5</f>
        <v>1074792.8400000001</v>
      </c>
      <c r="E5" s="243"/>
      <c r="F5" s="255">
        <f>SUM('DOE25'!J197:J200)+SUM('DOE25'!J215:J218)+SUM('DOE25'!J233:J236)</f>
        <v>16080.5</v>
      </c>
      <c r="G5" s="53">
        <f>SUM('DOE25'!K197:K200)+SUM('DOE25'!K215:K218)+SUM('DOE25'!K233:K236)</f>
        <v>716.47</v>
      </c>
      <c r="H5" s="259"/>
    </row>
    <row r="6" spans="1:9" x14ac:dyDescent="0.2">
      <c r="A6" s="32">
        <v>2100</v>
      </c>
      <c r="B6" t="s">
        <v>801</v>
      </c>
      <c r="C6" s="245">
        <f t="shared" si="0"/>
        <v>90086.68</v>
      </c>
      <c r="D6" s="20">
        <f>'DOE25'!L202+'DOE25'!L220+'DOE25'!L238-F6-G6</f>
        <v>90086.68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19561.97</v>
      </c>
      <c r="D7" s="20">
        <f>'DOE25'!L203+'DOE25'!L221+'DOE25'!L239-F7-G7</f>
        <v>19062.97</v>
      </c>
      <c r="E7" s="243"/>
      <c r="F7" s="255">
        <f>'DOE25'!J203+'DOE25'!J221+'DOE25'!J239</f>
        <v>0</v>
      </c>
      <c r="G7" s="53">
        <f>'DOE25'!K203+'DOE25'!K221+'DOE25'!K239</f>
        <v>499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101314.99999999999</v>
      </c>
      <c r="D8" s="243"/>
      <c r="E8" s="20">
        <f>'DOE25'!L204+'DOE25'!L222+'DOE25'!L240-F8-G8-D9-D11</f>
        <v>98789.499999999985</v>
      </c>
      <c r="F8" s="255">
        <f>'DOE25'!J204+'DOE25'!J222+'DOE25'!J240</f>
        <v>0</v>
      </c>
      <c r="G8" s="53">
        <f>'DOE25'!K204+'DOE25'!K222+'DOE25'!K240</f>
        <v>2525.5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11442.48</v>
      </c>
      <c r="D9" s="244">
        <f>9032.08+250+2160.4</f>
        <v>11442.48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5750</v>
      </c>
      <c r="D10" s="243"/>
      <c r="E10" s="244">
        <v>5750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24204</v>
      </c>
      <c r="D11" s="244">
        <v>24204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151745.87999999998</v>
      </c>
      <c r="D12" s="20">
        <f>'DOE25'!L205+'DOE25'!L223+'DOE25'!L241-F12-G12</f>
        <v>151631.87999999998</v>
      </c>
      <c r="E12" s="243"/>
      <c r="F12" s="255">
        <f>'DOE25'!J205+'DOE25'!J223+'DOE25'!J241</f>
        <v>0</v>
      </c>
      <c r="G12" s="53">
        <f>'DOE25'!K205+'DOE25'!K223+'DOE25'!K241</f>
        <v>114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154377.23000000001</v>
      </c>
      <c r="D14" s="20">
        <f>'DOE25'!L207+'DOE25'!L225+'DOE25'!L243-F14-G14</f>
        <v>153425.38</v>
      </c>
      <c r="E14" s="243"/>
      <c r="F14" s="255">
        <f>'DOE25'!J207+'DOE25'!J225+'DOE25'!J243</f>
        <v>951.85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98960.4</v>
      </c>
      <c r="D15" s="20">
        <f>'DOE25'!L208+'DOE25'!L226+'DOE25'!L244-F15-G15</f>
        <v>98960.4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984.64</v>
      </c>
      <c r="D16" s="243"/>
      <c r="E16" s="20">
        <f>'DOE25'!L209+'DOE25'!L227+'DOE25'!L245-F16-G16</f>
        <v>984.64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22244.34</v>
      </c>
      <c r="D29" s="20">
        <f>'DOE25'!L358+'DOE25'!L359+'DOE25'!L360-'DOE25'!I367-F29-G29</f>
        <v>22050.27</v>
      </c>
      <c r="E29" s="243"/>
      <c r="F29" s="255">
        <f>'DOE25'!J358+'DOE25'!J359+'DOE25'!J360</f>
        <v>194.07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277623.15000000002</v>
      </c>
      <c r="D31" s="20">
        <f>'DOE25'!L290+'DOE25'!L309+'DOE25'!L328+'DOE25'!L333+'DOE25'!L334+'DOE25'!L335-F31-G31</f>
        <v>257515.50000000003</v>
      </c>
      <c r="E31" s="243"/>
      <c r="F31" s="255">
        <f>'DOE25'!J290+'DOE25'!J309+'DOE25'!J328+'DOE25'!J333+'DOE25'!J334+'DOE25'!J335</f>
        <v>10773.689999999999</v>
      </c>
      <c r="G31" s="53">
        <f>'DOE25'!K290+'DOE25'!K309+'DOE25'!K328+'DOE25'!K333+'DOE25'!K334+'DOE25'!K335</f>
        <v>9333.9600000000009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1903172.4</v>
      </c>
      <c r="E33" s="246">
        <f>SUM(E5:E31)</f>
        <v>105524.13999999998</v>
      </c>
      <c r="F33" s="246">
        <f>SUM(F5:F31)</f>
        <v>28000.109999999997</v>
      </c>
      <c r="G33" s="246">
        <f>SUM(G5:G31)</f>
        <v>13188.93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105524.13999999998</v>
      </c>
      <c r="E35" s="249"/>
    </row>
    <row r="36" spans="2:8" ht="12" thickTop="1" x14ac:dyDescent="0.2">
      <c r="B36" t="s">
        <v>815</v>
      </c>
      <c r="D36" s="20">
        <f>D33</f>
        <v>1903172.4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HARRISVILLE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-56909.59</v>
      </c>
      <c r="D8" s="95">
        <f>'DOE25'!G9</f>
        <v>0</v>
      </c>
      <c r="E8" s="95">
        <f>'DOE25'!H9</f>
        <v>33955.74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120832.21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250597.53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38803.14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54431.26</v>
      </c>
      <c r="D12" s="95">
        <f>'DOE25'!G13</f>
        <v>834.5</v>
      </c>
      <c r="E12" s="95">
        <f>'DOE25'!H13</f>
        <v>47624.44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257.89</v>
      </c>
      <c r="D13" s="95">
        <f>'DOE25'!G14</f>
        <v>56.3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157414.91000000003</v>
      </c>
      <c r="D18" s="41">
        <f>SUM(D8:D17)</f>
        <v>890.8</v>
      </c>
      <c r="E18" s="41">
        <f>SUM(E8:E17)</f>
        <v>81580.179999999993</v>
      </c>
      <c r="F18" s="41">
        <f>SUM(F8:F17)</f>
        <v>0</v>
      </c>
      <c r="G18" s="41">
        <f>SUM(G8:G17)</f>
        <v>250597.53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120.1</v>
      </c>
      <c r="E21" s="95">
        <f>'DOE25'!H22</f>
        <v>38683.040000000001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364.08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6481.06</v>
      </c>
      <c r="D23" s="95">
        <f>'DOE25'!G24</f>
        <v>0</v>
      </c>
      <c r="E23" s="95">
        <f>'DOE25'!H24</f>
        <v>4982.96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4817.3999999999996</v>
      </c>
      <c r="D27" s="95">
        <f>'DOE25'!G28</f>
        <v>531.29999999999995</v>
      </c>
      <c r="E27" s="95">
        <f>'DOE25'!H28</f>
        <v>4501.4799999999996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239.4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11662.54</v>
      </c>
      <c r="D31" s="41">
        <f>SUM(D21:D30)</f>
        <v>890.8</v>
      </c>
      <c r="E31" s="41">
        <f>SUM(E21:E30)</f>
        <v>48167.479999999996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882.23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22262.5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32530.47</v>
      </c>
      <c r="F47" s="95">
        <f>'DOE25'!I48</f>
        <v>0</v>
      </c>
      <c r="G47" s="95">
        <f>'DOE25'!J48</f>
        <v>250597.53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48489.87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145752.37</v>
      </c>
      <c r="D50" s="41">
        <f>SUM(D34:D49)</f>
        <v>0</v>
      </c>
      <c r="E50" s="41">
        <f>SUM(E34:E49)</f>
        <v>33412.700000000004</v>
      </c>
      <c r="F50" s="41">
        <f>SUM(F34:F49)</f>
        <v>0</v>
      </c>
      <c r="G50" s="41">
        <f>SUM(G34:G49)</f>
        <v>250597.53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157414.91</v>
      </c>
      <c r="D51" s="41">
        <f>D50+D31</f>
        <v>890.8</v>
      </c>
      <c r="E51" s="41">
        <f>E50+E31</f>
        <v>81580.179999999993</v>
      </c>
      <c r="F51" s="41">
        <f>F50+F31</f>
        <v>0</v>
      </c>
      <c r="G51" s="41">
        <f>G50+G31</f>
        <v>250597.53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1248170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39249.910000000003</v>
      </c>
      <c r="D57" s="24" t="s">
        <v>289</v>
      </c>
      <c r="E57" s="95">
        <f>'DOE25'!H79</f>
        <v>51227.57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147.88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63.64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9454.15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70134.490000000005</v>
      </c>
      <c r="D61" s="95">
        <f>SUM('DOE25'!G98:G110)</f>
        <v>0</v>
      </c>
      <c r="E61" s="95">
        <f>SUM('DOE25'!H98:H110)</f>
        <v>3076.25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109532.28</v>
      </c>
      <c r="D62" s="130">
        <f>SUM(D57:D61)</f>
        <v>9454.15</v>
      </c>
      <c r="E62" s="130">
        <f>SUM(E57:E61)</f>
        <v>54303.82</v>
      </c>
      <c r="F62" s="130">
        <f>SUM(F57:F61)</f>
        <v>0</v>
      </c>
      <c r="G62" s="130">
        <f>SUM(G57:G61)</f>
        <v>63.64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1357702.28</v>
      </c>
      <c r="D63" s="22">
        <f>D56+D62</f>
        <v>9454.15</v>
      </c>
      <c r="E63" s="22">
        <f>E56+E62</f>
        <v>54303.82</v>
      </c>
      <c r="F63" s="22">
        <f>F56+F62</f>
        <v>0</v>
      </c>
      <c r="G63" s="22">
        <f>G56+G62</f>
        <v>63.64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13345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477481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490826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230.28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230.28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490826</v>
      </c>
      <c r="D81" s="130">
        <f>SUM(D79:D80)+D78+D70</f>
        <v>230.28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13760.36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7921.13</v>
      </c>
      <c r="D88" s="95">
        <f>SUM('DOE25'!G153:G161)</f>
        <v>10762.19</v>
      </c>
      <c r="E88" s="95">
        <f>SUM('DOE25'!H153:H161)</f>
        <v>230727.52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7921.13</v>
      </c>
      <c r="D91" s="131">
        <f>SUM(D85:D90)</f>
        <v>10762.19</v>
      </c>
      <c r="E91" s="131">
        <f>SUM(E85:E90)</f>
        <v>244487.88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13207.56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13207.56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1856449.41</v>
      </c>
      <c r="D104" s="86">
        <f>D63+D81+D91+D103</f>
        <v>33654.18</v>
      </c>
      <c r="E104" s="86">
        <f>E63+E81+E91+E103</f>
        <v>298791.7</v>
      </c>
      <c r="F104" s="86">
        <f>F63+F81+F91+F103</f>
        <v>0</v>
      </c>
      <c r="G104" s="86">
        <f>G63+G81+G103</f>
        <v>63.64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789839.51</v>
      </c>
      <c r="D109" s="24" t="s">
        <v>289</v>
      </c>
      <c r="E109" s="95">
        <f>('DOE25'!L276)+('DOE25'!L295)+('DOE25'!L314)</f>
        <v>129374.1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300329.74</v>
      </c>
      <c r="D110" s="24" t="s">
        <v>289</v>
      </c>
      <c r="E110" s="95">
        <f>('DOE25'!L277)+('DOE25'!L296)+('DOE25'!L315)</f>
        <v>25154.9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1420.56</v>
      </c>
      <c r="D112" s="24" t="s">
        <v>289</v>
      </c>
      <c r="E112" s="95">
        <f>+('DOE25'!L279)+('DOE25'!L298)+('DOE25'!L317)</f>
        <v>22340.089999999997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1091589.81</v>
      </c>
      <c r="D115" s="86">
        <f>SUM(D109:D114)</f>
        <v>0</v>
      </c>
      <c r="E115" s="86">
        <f>SUM(E109:E114)</f>
        <v>176869.09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90086.68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19561.97</v>
      </c>
      <c r="D119" s="24" t="s">
        <v>289</v>
      </c>
      <c r="E119" s="95">
        <f>+('DOE25'!L282)+('DOE25'!L301)+('DOE25'!L320)</f>
        <v>5352.9900000000007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136961.47999999998</v>
      </c>
      <c r="D120" s="24" t="s">
        <v>289</v>
      </c>
      <c r="E120" s="95">
        <f>+('DOE25'!L283)+('DOE25'!L302)+('DOE25'!L321)</f>
        <v>85266.799999999988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151745.87999999998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6834.27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154377.23000000001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98960.4</v>
      </c>
      <c r="D124" s="24" t="s">
        <v>289</v>
      </c>
      <c r="E124" s="95">
        <f>+('DOE25'!L287)+('DOE25'!L306)+('DOE25'!L325)</f>
        <v>3300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984.64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33654.18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652678.28</v>
      </c>
      <c r="D128" s="86">
        <f>SUM(D118:D127)</f>
        <v>33654.18</v>
      </c>
      <c r="E128" s="86">
        <f>SUM(E118:E127)</f>
        <v>100754.06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13207.56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36.57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27.07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-63.64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13207.56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1757475.6500000001</v>
      </c>
      <c r="D145" s="86">
        <f>(D115+D128+D144)</f>
        <v>33654.18</v>
      </c>
      <c r="E145" s="86">
        <f>(E115+E128+E144)</f>
        <v>277623.15000000002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HARRISVILLE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27952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27952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919214</v>
      </c>
      <c r="D10" s="182">
        <f>ROUND((C10/$C$28)*100,1)</f>
        <v>44.9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325485</v>
      </c>
      <c r="D11" s="182">
        <f>ROUND((C11/$C$28)*100,1)</f>
        <v>15.9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23761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90087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24915</v>
      </c>
      <c r="D16" s="182">
        <f t="shared" si="0"/>
        <v>1.2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223213</v>
      </c>
      <c r="D17" s="182">
        <f t="shared" si="0"/>
        <v>10.9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151746</v>
      </c>
      <c r="D18" s="182">
        <f t="shared" si="0"/>
        <v>7.4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6834</v>
      </c>
      <c r="D19" s="182">
        <f t="shared" si="0"/>
        <v>0.3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154377</v>
      </c>
      <c r="D20" s="182">
        <f t="shared" si="0"/>
        <v>7.5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102260</v>
      </c>
      <c r="D21" s="182">
        <f t="shared" si="0"/>
        <v>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24199.85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2046091.85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2046091.85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1248170</v>
      </c>
      <c r="D35" s="182">
        <f t="shared" ref="D35:D40" si="1">ROUND((C35/$C$41)*100,1)</f>
        <v>57.6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163899.73999999976</v>
      </c>
      <c r="D36" s="182">
        <f t="shared" si="1"/>
        <v>7.6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490826</v>
      </c>
      <c r="D37" s="182">
        <f t="shared" si="1"/>
        <v>22.7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230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263171</v>
      </c>
      <c r="D39" s="182">
        <f t="shared" si="1"/>
        <v>12.1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2166296.7399999998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HARRISVILLE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2014-09-29T16:45:11Z</cp:lastPrinted>
  <dcterms:created xsi:type="dcterms:W3CDTF">1997-12-04T19:04:30Z</dcterms:created>
  <dcterms:modified xsi:type="dcterms:W3CDTF">2014-10-15T12:37:36Z</dcterms:modified>
</cp:coreProperties>
</file>